
<file path=[Content_Types].xml><?xml version="1.0" encoding="utf-8"?>
<Types xmlns="http://schemas.openxmlformats.org/package/2006/content-type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9720" windowHeight="9220" activeTab="0"/>
  </bookViews>
  <sheets>
    <sheet name="Cap Table (USD)" sheetId="1" r:id="rId1"/>
    <sheet name="Guide" sheetId="2" r:id="rId2"/>
    <sheet name="DV-IDENTITY-0" sheetId="3" state="veryHidden" r:id="rId3"/>
  </sheets>
  <definedNames>
    <definedName name="_xlnm.Print_Area" localSheetId="0">'Cap Table (USD)'!$A$2:$J$69</definedName>
  </definedNames>
  <calcPr fullCalcOnLoad="1"/>
</workbook>
</file>

<file path=xl/sharedStrings.xml><?xml version="1.0" encoding="utf-8"?>
<sst xmlns="http://schemas.openxmlformats.org/spreadsheetml/2006/main" count="179" uniqueCount="47">
  <si>
    <t>Share/Option Holder</t>
  </si>
  <si>
    <t>Preferred</t>
  </si>
  <si>
    <t>Invested</t>
  </si>
  <si>
    <t>Common</t>
  </si>
  <si>
    <t>Options</t>
  </si>
  <si>
    <t xml:space="preserve"> Warrants</t>
  </si>
  <si>
    <t>Fully Diluted</t>
  </si>
  <si>
    <t>Percent</t>
  </si>
  <si>
    <t xml:space="preserve"> </t>
  </si>
  <si>
    <t>Investor/Advisor</t>
  </si>
  <si>
    <t>Board/Investor</t>
  </si>
  <si>
    <t>Investor</t>
  </si>
  <si>
    <t>Series B Preferred</t>
  </si>
  <si>
    <t>TOTALS</t>
  </si>
  <si>
    <t>Series C Preferred</t>
  </si>
  <si>
    <t>Series A Preferred</t>
  </si>
  <si>
    <t>Founder Stock</t>
  </si>
  <si>
    <t>Founder/CEO</t>
  </si>
  <si>
    <t>Co-Founder/CTO</t>
  </si>
  <si>
    <t>Name</t>
  </si>
  <si>
    <t>$500,000 @ $0.10/share</t>
  </si>
  <si>
    <t>$3,000,000 @ $0.50/share</t>
  </si>
  <si>
    <t>$10,000,000 @ $1.00/share</t>
  </si>
  <si>
    <t>Title</t>
  </si>
  <si>
    <t>Reserve Option Pool</t>
  </si>
  <si>
    <t>Future Employees</t>
  </si>
  <si>
    <t>Board/Advisor/Employee/Contractor Options</t>
  </si>
  <si>
    <t>$45,000 @ $0.01 and $0.05</t>
  </si>
  <si>
    <t>THE FIRST OUTSIDE INVESTOR ROUND</t>
  </si>
  <si>
    <t>Previous Cap</t>
  </si>
  <si>
    <t>Employee Option Pool</t>
  </si>
  <si>
    <t>Future Hires/Advisors</t>
  </si>
  <si>
    <t>Two founders come together to form a company.  They each invest $10,000 at $0.01 per share and get 1,000,000 shares each.  They also issue themselves each 1,000,000 options as upside, for their work and contributions to the business.  The founders entice a friend to invest $25,000.  The friend is a passive investor and is not contributing sweat equity or intellectual property.  He pays $0.05 for his shares and gets 500,000 options for his risk.  At this point, the founders each have 40% of the company and the investor has 20%.</t>
  </si>
  <si>
    <t>The founders are successful in developing and prototyping the product.  They are getting traction in the market.  They entice some angel investors to invest $500,000 at $0.10 per share for preferred stock.  The investment is high risk because the company, while promising, is not making money and has much to accomplish to become a viable business.  The angel investors are also granted warrants to sweeten the deal and increase their upside.  The investors get about half the company, making the valuation of the company at approx $1M.  The board also decides to reserve 1.2M shares in the form of options, post investment, for additional grants to the founders and to attract new hires.  At this point, the founders have given up half the company (unless they were one of the preferred investors). The founders have an opportunity to increase their percentage from the option pool, based on performance.</t>
  </si>
  <si>
    <t>INITIAL CAPITALIZATION, FOUNDER'S ROUND</t>
  </si>
  <si>
    <t>THE SECOND OUTSIDE INVESTOR ROUND</t>
  </si>
  <si>
    <t>THE THIRD OUTSIDE INVESTOR ROUND</t>
  </si>
  <si>
    <t xml:space="preserve">The company achieves its goals and attracts a VC to lead a Series B round for $3M at $0.50 per share. The new investors get about one third of the company, making the valuation around $10 million. </t>
  </si>
  <si>
    <t>The company achieves its goals and the investors collectively invest another $10M at $1.00 per share in a Series C round.  The post money valuation is approximately $30 million.  The board also approves another 1,300,000 shares for founder, employee, board and advisor stock options.</t>
  </si>
  <si>
    <t>Date of Transaction</t>
  </si>
  <si>
    <t>Invested (USD)</t>
  </si>
  <si>
    <t>AAAAAGtsdxw=</t>
  </si>
  <si>
    <t>AAAAAGtsdx0=</t>
  </si>
  <si>
    <t>AAAAAGtsdx4=</t>
  </si>
  <si>
    <t xml:space="preserve">Total Share Capital </t>
  </si>
  <si>
    <t xml:space="preserve">Number of Shares </t>
  </si>
  <si>
    <t>*STARTUP* Company Capitalization Table Template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</si>
</sst>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0_);[Red]\(&quot;$&quot;#,##0.000\)"/>
    <numFmt numFmtId="167" formatCode="00000"/>
    <numFmt numFmtId="168" formatCode="&quot;$&quot;#,##0.00"/>
    <numFmt numFmtId="169" formatCode="&quot;$&quot;#,##0.0"/>
    <numFmt numFmtId="170" formatCode="_(* #,##0.0_);_(* \(#,##0.0\);_(* &quot;-&quot;??_);_(@_)"/>
    <numFmt numFmtId="171" formatCode="_(* #,##0_);_(* \(#,##0\);_(* &quot;-&quot;??_);_(@_)"/>
    <numFmt numFmtId="172" formatCode="[$-409]dddd\,\ mmmm\ dd\,\ yyyy"/>
    <numFmt numFmtId="173" formatCode="[$-409]h:mm:ss\ AM/PM"/>
    <numFmt numFmtId="174" formatCode="_(&quot;$&quot;* #,##0.0_);_(&quot;$&quot;* \(#,##0.0\);_(&quot;$&quot;* &quot;-&quot;??_);_(@_)"/>
    <numFmt numFmtId="175" formatCode="_(&quot;$&quot;* #,##0_);_(&quot;$&quot;* \(#,##0\);_(&quot;$&quot;* &quot;-&quot;??_);_(@_)"/>
    <numFmt numFmtId="176" formatCode="&quot;Yes&quot;;&quot;Yes&quot;;&quot;No&quot;"/>
    <numFmt numFmtId="177" formatCode="&quot;True&quot;;&quot;True&quot;;&quot;False&quot;"/>
    <numFmt numFmtId="178" formatCode="&quot;On&quot;;&quot;On&quot;;&quot;Off&quot;"/>
    <numFmt numFmtId="179" formatCode="[$€-2]\ #,##0.00_);[Red]\([$€-2]\ #,##0.00\)"/>
  </numFmts>
  <fonts count="40">
    <font>
      <sz val="10"/>
      <name val="Arial"/>
      <family val="0"/>
    </font>
    <font>
      <b/>
      <sz val="12"/>
      <name val="Arial"/>
      <family val="2"/>
    </font>
    <font>
      <b/>
      <sz val="10"/>
      <name val="Arial"/>
      <family val="2"/>
    </font>
    <font>
      <u val="single"/>
      <sz val="10"/>
      <color indexed="12"/>
      <name val="Arial"/>
      <family val="2"/>
    </font>
    <font>
      <sz val="8"/>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5"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4">
    <xf numFmtId="0" fontId="0" fillId="0" borderId="0" xfId="0" applyAlignment="1">
      <alignment/>
    </xf>
    <xf numFmtId="3" fontId="0" fillId="0" borderId="0" xfId="0" applyNumberFormat="1" applyAlignment="1">
      <alignment/>
    </xf>
    <xf numFmtId="0" fontId="1" fillId="0" borderId="0" xfId="0" applyFont="1" applyAlignment="1">
      <alignment/>
    </xf>
    <xf numFmtId="6" fontId="0" fillId="0" borderId="0" xfId="0" applyNumberFormat="1" applyAlignment="1">
      <alignment horizontal="left"/>
    </xf>
    <xf numFmtId="38" fontId="0" fillId="0" borderId="0" xfId="0" applyNumberFormat="1" applyAlignment="1">
      <alignment/>
    </xf>
    <xf numFmtId="9" fontId="0" fillId="0" borderId="0" xfId="0" applyNumberFormat="1" applyAlignment="1">
      <alignment/>
    </xf>
    <xf numFmtId="10" fontId="0" fillId="0" borderId="0" xfId="0" applyNumberFormat="1" applyAlignment="1">
      <alignment/>
    </xf>
    <xf numFmtId="164" fontId="0" fillId="0" borderId="0" xfId="0" applyNumberFormat="1" applyAlignment="1">
      <alignment/>
    </xf>
    <xf numFmtId="6" fontId="2" fillId="0" borderId="0" xfId="0" applyNumberFormat="1" applyFont="1" applyAlignment="1">
      <alignment horizontal="left"/>
    </xf>
    <xf numFmtId="3" fontId="2" fillId="0" borderId="0" xfId="0" applyNumberFormat="1" applyFont="1" applyAlignment="1">
      <alignment/>
    </xf>
    <xf numFmtId="10" fontId="2" fillId="0" borderId="0" xfId="0" applyNumberFormat="1" applyFont="1" applyAlignment="1">
      <alignment/>
    </xf>
    <xf numFmtId="6" fontId="1" fillId="0" borderId="0" xfId="0" applyNumberFormat="1" applyFont="1" applyAlignment="1">
      <alignment horizontal="left"/>
    </xf>
    <xf numFmtId="0" fontId="1" fillId="0" borderId="0" xfId="0" applyFont="1" applyAlignment="1">
      <alignment horizontal="center"/>
    </xf>
    <xf numFmtId="0" fontId="2" fillId="0" borderId="0" xfId="0" applyFont="1" applyAlignment="1">
      <alignment horizontal="center"/>
    </xf>
    <xf numFmtId="6" fontId="0" fillId="0" borderId="0" xfId="0" applyNumberFormat="1" applyFont="1" applyAlignment="1">
      <alignment horizontal="left"/>
    </xf>
    <xf numFmtId="164" fontId="2" fillId="0" borderId="0" xfId="0" applyNumberFormat="1" applyFont="1" applyAlignment="1">
      <alignment/>
    </xf>
    <xf numFmtId="0" fontId="1" fillId="0" borderId="0" xfId="0" applyFont="1" applyAlignment="1">
      <alignment horizontal="centerContinuous"/>
    </xf>
    <xf numFmtId="0" fontId="2" fillId="0" borderId="0" xfId="0" applyFont="1" applyAlignment="1">
      <alignment/>
    </xf>
    <xf numFmtId="0" fontId="0" fillId="0" borderId="0" xfId="0" applyNumberFormat="1" applyAlignment="1">
      <alignment/>
    </xf>
    <xf numFmtId="0" fontId="0" fillId="0" borderId="0" xfId="0" applyNumberFormat="1" applyAlignment="1">
      <alignment horizontal="left" vertical="top" wrapText="1"/>
    </xf>
    <xf numFmtId="0" fontId="0" fillId="0" borderId="0" xfId="0" applyFont="1" applyAlignment="1">
      <alignment/>
    </xf>
    <xf numFmtId="4" fontId="0" fillId="0" borderId="0" xfId="0" applyNumberFormat="1" applyAlignment="1">
      <alignment/>
    </xf>
    <xf numFmtId="165" fontId="0" fillId="0" borderId="0" xfId="0" applyNumberFormat="1" applyAlignment="1">
      <alignment/>
    </xf>
    <xf numFmtId="3" fontId="0" fillId="0" borderId="0" xfId="0" applyNumberFormat="1" applyAlignment="1">
      <alignment horizontal="right" vertical="top" wrapText="1"/>
    </xf>
    <xf numFmtId="6" fontId="0" fillId="0" borderId="0" xfId="0" applyNumberFormat="1" applyAlignment="1">
      <alignment horizontal="right" vertical="top" wrapText="1"/>
    </xf>
    <xf numFmtId="6" fontId="2" fillId="0" borderId="0" xfId="0" applyNumberFormat="1" applyFont="1" applyAlignment="1">
      <alignment/>
    </xf>
    <xf numFmtId="10" fontId="0" fillId="0" borderId="0" xfId="0" applyNumberFormat="1" applyAlignment="1">
      <alignment horizontal="right" vertical="top" wrapText="1"/>
    </xf>
    <xf numFmtId="43" fontId="0" fillId="0" borderId="0" xfId="42" applyFont="1" applyAlignment="1">
      <alignment/>
    </xf>
    <xf numFmtId="171" fontId="0" fillId="0" borderId="0" xfId="42" applyNumberFormat="1" applyFont="1" applyAlignment="1">
      <alignment/>
    </xf>
    <xf numFmtId="175" fontId="1" fillId="0" borderId="0" xfId="44" applyNumberFormat="1" applyFont="1" applyAlignment="1">
      <alignment horizontal="center"/>
    </xf>
    <xf numFmtId="171" fontId="2" fillId="0" borderId="0" xfId="42" applyNumberFormat="1" applyFont="1" applyAlignment="1">
      <alignment/>
    </xf>
    <xf numFmtId="41" fontId="1" fillId="0" borderId="0" xfId="44" applyNumberFormat="1" applyFont="1" applyAlignment="1">
      <alignment horizontal="center"/>
    </xf>
    <xf numFmtId="44" fontId="0" fillId="0" borderId="0" xfId="44" applyFont="1" applyAlignment="1">
      <alignment/>
    </xf>
    <xf numFmtId="0" fontId="0" fillId="0" borderId="0" xfId="0" applyNumberForma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customProperty" Target="../customProperty3.bin" /></Relationships>
</file>

<file path=xl/worksheets/sheet1.xml><?xml version="1.0" encoding="utf-8"?>
<worksheet xmlns="http://schemas.openxmlformats.org/spreadsheetml/2006/main" xmlns:r="http://schemas.openxmlformats.org/officeDocument/2006/relationships">
  <sheetPr>
    <pageSetUpPr fitToPage="1"/>
  </sheetPr>
  <dimension ref="A2:J70"/>
  <sheetViews>
    <sheetView tabSelected="1" workbookViewId="0" topLeftCell="A1">
      <selection activeCell="B20" sqref="B20"/>
    </sheetView>
  </sheetViews>
  <sheetFormatPr defaultColWidth="8.8515625" defaultRowHeight="12.75"/>
  <cols>
    <col min="1" max="1" width="46.28125" style="0" customWidth="1"/>
    <col min="2" max="2" width="27.140625" style="0" customWidth="1"/>
    <col min="3" max="3" width="18.421875" style="0" customWidth="1"/>
    <col min="4" max="4" width="11.00390625" style="0" customWidth="1"/>
    <col min="5" max="5" width="14.28125" style="0" bestFit="1" customWidth="1"/>
    <col min="6" max="6" width="13.00390625" style="0" customWidth="1"/>
    <col min="7" max="7" width="13.7109375" style="0" customWidth="1"/>
    <col min="8" max="8" width="12.28125" style="0" customWidth="1"/>
    <col min="9" max="9" width="14.28125" style="0" customWidth="1"/>
    <col min="10" max="10" width="10.140625" style="0" customWidth="1"/>
    <col min="11" max="11" width="5.8515625" style="0" customWidth="1"/>
    <col min="12" max="12" width="5.140625" style="0" customWidth="1"/>
    <col min="13" max="13" width="10.8515625" style="0" customWidth="1"/>
    <col min="14" max="14" width="8.8515625" style="0" customWidth="1"/>
    <col min="15" max="15" width="10.28125" style="0" customWidth="1"/>
    <col min="16" max="17" width="8.8515625" style="0" customWidth="1"/>
    <col min="18" max="18" width="10.7109375" style="0" customWidth="1"/>
  </cols>
  <sheetData>
    <row r="2" spans="1:10" ht="15">
      <c r="A2" s="16" t="s">
        <v>46</v>
      </c>
      <c r="B2" s="16"/>
      <c r="C2" s="16"/>
      <c r="D2" s="16"/>
      <c r="E2" s="16"/>
      <c r="F2" s="16"/>
      <c r="G2" s="16"/>
      <c r="H2" s="16"/>
      <c r="I2" s="16"/>
      <c r="J2" s="16"/>
    </row>
    <row r="3" spans="1:10" ht="15">
      <c r="A3" s="16"/>
      <c r="B3" s="16"/>
      <c r="C3" s="16"/>
      <c r="D3" s="16"/>
      <c r="E3" s="16"/>
      <c r="F3" s="16"/>
      <c r="G3" s="16"/>
      <c r="H3" s="16"/>
      <c r="I3" s="16"/>
      <c r="J3" s="16"/>
    </row>
    <row r="4" spans="2:10" ht="15">
      <c r="B4" s="28"/>
      <c r="C4" s="16"/>
      <c r="D4" s="16"/>
      <c r="E4" s="16"/>
      <c r="F4" s="16"/>
      <c r="G4" s="16"/>
      <c r="H4" s="16"/>
      <c r="I4" s="16"/>
      <c r="J4" s="16"/>
    </row>
    <row r="5" spans="1:10" ht="15">
      <c r="A5" t="s">
        <v>44</v>
      </c>
      <c r="B5" s="31"/>
      <c r="C5" s="29">
        <v>1000000</v>
      </c>
      <c r="D5" s="12"/>
      <c r="E5" s="12"/>
      <c r="F5" s="12"/>
      <c r="G5" s="12"/>
      <c r="H5" s="12"/>
      <c r="I5" s="12"/>
      <c r="J5" s="12"/>
    </row>
    <row r="6" spans="1:10" ht="15">
      <c r="A6" t="s">
        <v>45</v>
      </c>
      <c r="B6" s="30">
        <v>5000000</v>
      </c>
      <c r="C6" s="12"/>
      <c r="D6" s="12"/>
      <c r="E6" s="12"/>
      <c r="F6" s="12"/>
      <c r="G6" s="12"/>
      <c r="H6" s="12"/>
      <c r="I6" s="12"/>
      <c r="J6" s="12"/>
    </row>
    <row r="7" spans="2:10" ht="12.75">
      <c r="B7" s="13" t="s">
        <v>0</v>
      </c>
      <c r="C7" s="13" t="s">
        <v>39</v>
      </c>
      <c r="D7" s="13" t="s">
        <v>1</v>
      </c>
      <c r="E7" s="13" t="s">
        <v>40</v>
      </c>
      <c r="F7" s="13" t="s">
        <v>3</v>
      </c>
      <c r="G7" s="13" t="s">
        <v>4</v>
      </c>
      <c r="H7" s="13" t="s">
        <v>5</v>
      </c>
      <c r="I7" s="13" t="s">
        <v>6</v>
      </c>
      <c r="J7" s="13" t="s">
        <v>7</v>
      </c>
    </row>
    <row r="8" spans="1:8" ht="15">
      <c r="A8" s="2" t="s">
        <v>16</v>
      </c>
      <c r="G8" s="4"/>
      <c r="H8" s="5" t="s">
        <v>8</v>
      </c>
    </row>
    <row r="9" ht="12.75">
      <c r="A9" s="8"/>
    </row>
    <row r="10" spans="1:10" ht="12.75">
      <c r="A10" s="20"/>
      <c r="B10" s="20"/>
      <c r="D10" s="1"/>
      <c r="E10" s="7"/>
      <c r="F10" s="1"/>
      <c r="G10" s="1"/>
      <c r="H10" s="1"/>
      <c r="I10" s="4">
        <f>D10+F10+G10+H10</f>
        <v>0</v>
      </c>
      <c r="J10" s="6" t="e">
        <f>I10/$I$69</f>
        <v>#DIV/0!</v>
      </c>
    </row>
    <row r="11" spans="1:10" ht="12.75">
      <c r="A11" s="20"/>
      <c r="B11" s="20"/>
      <c r="C11" s="20"/>
      <c r="D11" s="1"/>
      <c r="E11" s="7"/>
      <c r="F11" s="1"/>
      <c r="G11" s="1"/>
      <c r="H11" s="1"/>
      <c r="I11" s="4">
        <f>D11+F11+G11+H11</f>
        <v>0</v>
      </c>
      <c r="J11" s="6" t="e">
        <f>I11/$I$69</f>
        <v>#DIV/0!</v>
      </c>
    </row>
    <row r="12" spans="1:10" ht="12.75">
      <c r="A12" s="20"/>
      <c r="B12" s="20"/>
      <c r="C12" s="20"/>
      <c r="E12" s="7"/>
      <c r="F12" s="1"/>
      <c r="G12" s="1"/>
      <c r="H12" s="1"/>
      <c r="I12" s="4">
        <f>D12+F12+G12+H12</f>
        <v>0</v>
      </c>
      <c r="J12" s="6" t="e">
        <f>I12/$I$69</f>
        <v>#DIV/0!</v>
      </c>
    </row>
    <row r="13" spans="1:10" ht="12.75">
      <c r="A13" s="20"/>
      <c r="B13" s="20"/>
      <c r="C13" s="20"/>
      <c r="E13" s="7"/>
      <c r="F13" s="1"/>
      <c r="G13" s="1"/>
      <c r="H13" s="1"/>
      <c r="I13" s="4">
        <f>D13+F13+G13+H13</f>
        <v>0</v>
      </c>
      <c r="J13" s="6" t="e">
        <f>I13/$I$69</f>
        <v>#DIV/0!</v>
      </c>
    </row>
    <row r="14" spans="1:10" ht="12.75">
      <c r="A14" s="20"/>
      <c r="B14" s="20"/>
      <c r="C14" s="20"/>
      <c r="E14" s="7"/>
      <c r="F14" s="1"/>
      <c r="G14" s="1"/>
      <c r="H14" s="1"/>
      <c r="I14" s="4"/>
      <c r="J14" s="6"/>
    </row>
    <row r="17" spans="1:7" ht="15">
      <c r="A17" s="2" t="s">
        <v>15</v>
      </c>
      <c r="E17" s="7"/>
      <c r="G17" s="1"/>
    </row>
    <row r="18" spans="1:5" ht="12.75">
      <c r="A18" s="8"/>
      <c r="B18" s="30"/>
      <c r="E18" s="7"/>
    </row>
    <row r="19" spans="1:10" ht="12.75">
      <c r="A19" s="14" t="s">
        <v>10</v>
      </c>
      <c r="B19" t="s">
        <v>19</v>
      </c>
      <c r="D19" s="1">
        <f>E19/0.1</f>
        <v>0</v>
      </c>
      <c r="E19" s="7"/>
      <c r="F19">
        <v>0</v>
      </c>
      <c r="G19">
        <v>0</v>
      </c>
      <c r="H19" s="1">
        <f aca="true" t="shared" si="0" ref="H19:H26">0.2*D19</f>
        <v>0</v>
      </c>
      <c r="I19" s="4">
        <f>D19+F19+G19+H19</f>
        <v>0</v>
      </c>
      <c r="J19" s="6" t="e">
        <f aca="true" t="shared" si="1" ref="J19:J26">I19/$I$69</f>
        <v>#DIV/0!</v>
      </c>
    </row>
    <row r="20" spans="1:10" ht="12.75">
      <c r="A20" s="3" t="s">
        <v>10</v>
      </c>
      <c r="B20" t="s">
        <v>19</v>
      </c>
      <c r="D20" s="1">
        <f aca="true" t="shared" si="2" ref="D20:D26">E20/0.1</f>
        <v>0</v>
      </c>
      <c r="E20" s="7"/>
      <c r="F20">
        <v>0</v>
      </c>
      <c r="G20" s="1">
        <v>0</v>
      </c>
      <c r="H20" s="1">
        <f t="shared" si="0"/>
        <v>0</v>
      </c>
      <c r="I20" s="4">
        <f aca="true" t="shared" si="3" ref="I20:I26">D20+F20+G20+H20</f>
        <v>0</v>
      </c>
      <c r="J20" s="6" t="e">
        <f t="shared" si="1"/>
        <v>#DIV/0!</v>
      </c>
    </row>
    <row r="21" spans="1:10" ht="12.75">
      <c r="A21" s="3" t="s">
        <v>11</v>
      </c>
      <c r="B21" t="s">
        <v>19</v>
      </c>
      <c r="D21" s="1">
        <f t="shared" si="2"/>
        <v>0</v>
      </c>
      <c r="E21" s="7"/>
      <c r="F21">
        <v>0</v>
      </c>
      <c r="G21" s="1">
        <v>0</v>
      </c>
      <c r="H21" s="1">
        <f t="shared" si="0"/>
        <v>0</v>
      </c>
      <c r="I21" s="4">
        <f t="shared" si="3"/>
        <v>0</v>
      </c>
      <c r="J21" s="6" t="e">
        <f t="shared" si="1"/>
        <v>#DIV/0!</v>
      </c>
    </row>
    <row r="22" spans="1:10" ht="12.75">
      <c r="A22" s="3" t="s">
        <v>11</v>
      </c>
      <c r="B22" t="s">
        <v>19</v>
      </c>
      <c r="D22" s="1">
        <f t="shared" si="2"/>
        <v>0</v>
      </c>
      <c r="E22" s="7"/>
      <c r="F22">
        <v>0</v>
      </c>
      <c r="G22" s="1">
        <v>0</v>
      </c>
      <c r="H22" s="1">
        <f t="shared" si="0"/>
        <v>0</v>
      </c>
      <c r="I22" s="4">
        <f t="shared" si="3"/>
        <v>0</v>
      </c>
      <c r="J22" s="6" t="e">
        <f t="shared" si="1"/>
        <v>#DIV/0!</v>
      </c>
    </row>
    <row r="23" spans="1:10" ht="12.75">
      <c r="A23" s="3" t="s">
        <v>11</v>
      </c>
      <c r="B23" t="s">
        <v>19</v>
      </c>
      <c r="D23" s="1">
        <f t="shared" si="2"/>
        <v>0</v>
      </c>
      <c r="E23" s="7"/>
      <c r="F23">
        <v>0</v>
      </c>
      <c r="G23" s="1">
        <v>0</v>
      </c>
      <c r="H23" s="1">
        <f t="shared" si="0"/>
        <v>0</v>
      </c>
      <c r="I23" s="4">
        <f t="shared" si="3"/>
        <v>0</v>
      </c>
      <c r="J23" s="6" t="e">
        <f t="shared" si="1"/>
        <v>#DIV/0!</v>
      </c>
    </row>
    <row r="24" spans="1:10" ht="12.75">
      <c r="A24" s="3" t="s">
        <v>11</v>
      </c>
      <c r="B24" t="s">
        <v>19</v>
      </c>
      <c r="D24" s="1">
        <f t="shared" si="2"/>
        <v>0</v>
      </c>
      <c r="E24" s="7"/>
      <c r="F24">
        <v>0</v>
      </c>
      <c r="G24" s="1">
        <v>0</v>
      </c>
      <c r="H24" s="1">
        <f t="shared" si="0"/>
        <v>0</v>
      </c>
      <c r="I24" s="4">
        <f t="shared" si="3"/>
        <v>0</v>
      </c>
      <c r="J24" s="6" t="e">
        <f t="shared" si="1"/>
        <v>#DIV/0!</v>
      </c>
    </row>
    <row r="25" spans="1:10" ht="12.75">
      <c r="A25" s="3" t="s">
        <v>11</v>
      </c>
      <c r="B25" t="s">
        <v>19</v>
      </c>
      <c r="D25" s="1">
        <f t="shared" si="2"/>
        <v>0</v>
      </c>
      <c r="E25" s="7"/>
      <c r="F25">
        <v>0</v>
      </c>
      <c r="G25" s="1">
        <v>0</v>
      </c>
      <c r="H25" s="1">
        <f t="shared" si="0"/>
        <v>0</v>
      </c>
      <c r="I25" s="4">
        <f t="shared" si="3"/>
        <v>0</v>
      </c>
      <c r="J25" s="6" t="e">
        <f t="shared" si="1"/>
        <v>#DIV/0!</v>
      </c>
    </row>
    <row r="26" spans="1:10" ht="12.75">
      <c r="A26" s="3" t="s">
        <v>11</v>
      </c>
      <c r="B26" t="s">
        <v>19</v>
      </c>
      <c r="D26" s="1">
        <f t="shared" si="2"/>
        <v>0</v>
      </c>
      <c r="E26" s="7"/>
      <c r="F26">
        <v>0</v>
      </c>
      <c r="G26" s="1">
        <v>0</v>
      </c>
      <c r="H26" s="1">
        <f t="shared" si="0"/>
        <v>0</v>
      </c>
      <c r="I26" s="4">
        <f t="shared" si="3"/>
        <v>0</v>
      </c>
      <c r="J26" s="6" t="e">
        <f t="shared" si="1"/>
        <v>#DIV/0!</v>
      </c>
    </row>
    <row r="27" spans="1:10" ht="12.75">
      <c r="A27" s="8"/>
      <c r="D27" s="1"/>
      <c r="E27" s="7"/>
      <c r="F27" s="1"/>
      <c r="H27" s="1"/>
      <c r="I27" s="4"/>
      <c r="J27" s="6"/>
    </row>
    <row r="28" spans="1:10" ht="15">
      <c r="A28" s="2" t="s">
        <v>12</v>
      </c>
      <c r="D28" s="1"/>
      <c r="E28" s="7"/>
      <c r="F28" s="1"/>
      <c r="H28" s="1"/>
      <c r="I28" s="4"/>
      <c r="J28" s="6"/>
    </row>
    <row r="29" spans="1:10" ht="12.75">
      <c r="A29" s="8"/>
      <c r="D29" s="1"/>
      <c r="E29" s="7"/>
      <c r="F29" s="1"/>
      <c r="I29" s="4"/>
      <c r="J29" s="6"/>
    </row>
    <row r="30" spans="1:10" ht="12.75">
      <c r="A30" s="14" t="s">
        <v>10</v>
      </c>
      <c r="B30" t="s">
        <v>19</v>
      </c>
      <c r="D30" s="1">
        <f aca="true" t="shared" si="4" ref="D30:D35">E30/0.5</f>
        <v>0</v>
      </c>
      <c r="E30" s="7"/>
      <c r="F30" s="1">
        <v>0</v>
      </c>
      <c r="G30">
        <v>0</v>
      </c>
      <c r="H30" s="1">
        <v>0</v>
      </c>
      <c r="I30" s="4">
        <f aca="true" t="shared" si="5" ref="I30:I35">D30+F30+G30+H30</f>
        <v>0</v>
      </c>
      <c r="J30" s="6" t="e">
        <f aca="true" t="shared" si="6" ref="J30:J35">I30/$I$69</f>
        <v>#DIV/0!</v>
      </c>
    </row>
    <row r="31" spans="1:10" ht="12.75">
      <c r="A31" s="14" t="s">
        <v>10</v>
      </c>
      <c r="B31" t="s">
        <v>19</v>
      </c>
      <c r="D31" s="1">
        <f t="shared" si="4"/>
        <v>0</v>
      </c>
      <c r="E31" s="7"/>
      <c r="F31" s="1">
        <v>0</v>
      </c>
      <c r="G31">
        <v>0</v>
      </c>
      <c r="H31" s="1">
        <v>0</v>
      </c>
      <c r="I31" s="4">
        <f t="shared" si="5"/>
        <v>0</v>
      </c>
      <c r="J31" s="6" t="e">
        <f t="shared" si="6"/>
        <v>#DIV/0!</v>
      </c>
    </row>
    <row r="32" spans="1:10" ht="12.75">
      <c r="A32" s="14" t="s">
        <v>11</v>
      </c>
      <c r="B32" t="s">
        <v>19</v>
      </c>
      <c r="D32" s="1">
        <f t="shared" si="4"/>
        <v>0</v>
      </c>
      <c r="E32" s="7"/>
      <c r="F32" s="1">
        <v>0</v>
      </c>
      <c r="G32">
        <v>0</v>
      </c>
      <c r="H32" s="1">
        <v>0</v>
      </c>
      <c r="I32" s="4">
        <f>D32+F32+G32+H32</f>
        <v>0</v>
      </c>
      <c r="J32" s="6" t="e">
        <f>I32/$I$69</f>
        <v>#DIV/0!</v>
      </c>
    </row>
    <row r="33" spans="1:10" ht="12.75">
      <c r="A33" s="14" t="s">
        <v>10</v>
      </c>
      <c r="B33" t="s">
        <v>19</v>
      </c>
      <c r="D33" s="1">
        <f t="shared" si="4"/>
        <v>0</v>
      </c>
      <c r="E33" s="7"/>
      <c r="F33" s="1">
        <v>0</v>
      </c>
      <c r="G33">
        <v>0</v>
      </c>
      <c r="H33" s="1">
        <v>0</v>
      </c>
      <c r="I33" s="4">
        <f t="shared" si="5"/>
        <v>0</v>
      </c>
      <c r="J33" s="6" t="e">
        <f t="shared" si="6"/>
        <v>#DIV/0!</v>
      </c>
    </row>
    <row r="34" spans="1:10" ht="12.75">
      <c r="A34" s="14" t="s">
        <v>11</v>
      </c>
      <c r="B34" t="s">
        <v>19</v>
      </c>
      <c r="D34" s="1">
        <f t="shared" si="4"/>
        <v>0</v>
      </c>
      <c r="E34" s="7"/>
      <c r="F34" s="1">
        <v>0</v>
      </c>
      <c r="G34">
        <v>0</v>
      </c>
      <c r="H34" s="1">
        <v>0</v>
      </c>
      <c r="I34" s="4">
        <f>D34+F34+G34+H34</f>
        <v>0</v>
      </c>
      <c r="J34" s="6" t="e">
        <f>I34/$I$69</f>
        <v>#DIV/0!</v>
      </c>
    </row>
    <row r="35" spans="1:10" ht="12.75">
      <c r="A35" s="14" t="s">
        <v>11</v>
      </c>
      <c r="B35" t="s">
        <v>19</v>
      </c>
      <c r="D35" s="1">
        <f t="shared" si="4"/>
        <v>0</v>
      </c>
      <c r="E35" s="7"/>
      <c r="F35" s="1">
        <v>0</v>
      </c>
      <c r="G35">
        <v>0</v>
      </c>
      <c r="H35" s="1">
        <v>0</v>
      </c>
      <c r="I35" s="4">
        <f t="shared" si="5"/>
        <v>0</v>
      </c>
      <c r="J35" s="6" t="e">
        <f t="shared" si="6"/>
        <v>#DIV/0!</v>
      </c>
    </row>
    <row r="36" spans="4:5" ht="12.75">
      <c r="D36" s="1"/>
      <c r="E36" s="7"/>
    </row>
    <row r="37" spans="1:10" ht="15">
      <c r="A37" s="11" t="s">
        <v>14</v>
      </c>
      <c r="D37" s="1"/>
      <c r="E37" s="7"/>
      <c r="F37" s="1"/>
      <c r="H37" s="1"/>
      <c r="I37" s="4"/>
      <c r="J37" s="6"/>
    </row>
    <row r="38" spans="1:10" ht="12.75">
      <c r="A38" s="8"/>
      <c r="D38" s="1"/>
      <c r="E38" s="7"/>
      <c r="F38" s="1"/>
      <c r="H38" s="1"/>
      <c r="I38" s="4"/>
      <c r="J38" s="6"/>
    </row>
    <row r="39" spans="1:10" ht="12.75">
      <c r="A39" s="14" t="s">
        <v>11</v>
      </c>
      <c r="B39" t="s">
        <v>19</v>
      </c>
      <c r="D39" s="1">
        <f>E39/1</f>
        <v>0</v>
      </c>
      <c r="E39" s="7"/>
      <c r="F39" s="1">
        <v>0</v>
      </c>
      <c r="G39">
        <v>0</v>
      </c>
      <c r="H39" s="1">
        <v>0</v>
      </c>
      <c r="I39" s="4">
        <f>D39+F39+G39+H39</f>
        <v>0</v>
      </c>
      <c r="J39" s="6" t="e">
        <f>I39/$I$69</f>
        <v>#DIV/0!</v>
      </c>
    </row>
    <row r="40" spans="1:10" ht="12.75">
      <c r="A40" s="14" t="s">
        <v>11</v>
      </c>
      <c r="B40" t="s">
        <v>19</v>
      </c>
      <c r="D40" s="1">
        <f>E40/1</f>
        <v>0</v>
      </c>
      <c r="E40" s="7"/>
      <c r="F40" s="1">
        <v>0</v>
      </c>
      <c r="G40">
        <v>0</v>
      </c>
      <c r="H40" s="1">
        <v>0</v>
      </c>
      <c r="I40" s="4">
        <f>D40+F40+G40+H40</f>
        <v>0</v>
      </c>
      <c r="J40" s="6" t="e">
        <f>I40/$I$69</f>
        <v>#DIV/0!</v>
      </c>
    </row>
    <row r="41" spans="1:10" ht="12.75">
      <c r="A41" s="14" t="s">
        <v>11</v>
      </c>
      <c r="B41" t="s">
        <v>19</v>
      </c>
      <c r="D41" s="1">
        <f>E41/1</f>
        <v>0</v>
      </c>
      <c r="E41" s="7"/>
      <c r="F41" s="1">
        <v>0</v>
      </c>
      <c r="G41">
        <v>0</v>
      </c>
      <c r="H41" s="1">
        <v>0</v>
      </c>
      <c r="I41" s="4">
        <f>D41+F41+G41+H41</f>
        <v>0</v>
      </c>
      <c r="J41" s="6" t="e">
        <f>I41/$I$69</f>
        <v>#DIV/0!</v>
      </c>
    </row>
    <row r="42" spans="1:10" ht="12.75">
      <c r="A42" s="14" t="s">
        <v>11</v>
      </c>
      <c r="B42" t="s">
        <v>19</v>
      </c>
      <c r="D42" s="1">
        <f>E42/1</f>
        <v>0</v>
      </c>
      <c r="E42" s="7"/>
      <c r="F42" s="1">
        <v>0</v>
      </c>
      <c r="G42">
        <v>0</v>
      </c>
      <c r="H42" s="1">
        <v>0</v>
      </c>
      <c r="I42" s="4">
        <f>D42+F42+G42+H42</f>
        <v>0</v>
      </c>
      <c r="J42" s="6" t="e">
        <f>I42/$I$69</f>
        <v>#DIV/0!</v>
      </c>
    </row>
    <row r="43" spans="1:10" ht="12.75">
      <c r="A43" s="14" t="s">
        <v>11</v>
      </c>
      <c r="B43" t="s">
        <v>19</v>
      </c>
      <c r="D43" s="1">
        <f>E43/1</f>
        <v>0</v>
      </c>
      <c r="E43" s="7"/>
      <c r="F43" s="1">
        <v>0</v>
      </c>
      <c r="G43">
        <v>0</v>
      </c>
      <c r="H43" s="1">
        <v>0</v>
      </c>
      <c r="I43" s="4">
        <f>D43+F43+G43+H43</f>
        <v>0</v>
      </c>
      <c r="J43" s="6" t="e">
        <f>I43/$I$69</f>
        <v>#DIV/0!</v>
      </c>
    </row>
    <row r="44" spans="4:10" ht="12.75">
      <c r="D44" s="1"/>
      <c r="E44" s="7"/>
      <c r="J44" s="6"/>
    </row>
    <row r="45" spans="1:5" ht="15">
      <c r="A45" s="2" t="s">
        <v>26</v>
      </c>
      <c r="E45" s="7"/>
    </row>
    <row r="46" spans="1:10" ht="12.75">
      <c r="A46" t="s">
        <v>23</v>
      </c>
      <c r="B46" t="s">
        <v>19</v>
      </c>
      <c r="D46" s="1">
        <v>0</v>
      </c>
      <c r="E46" s="7">
        <v>0</v>
      </c>
      <c r="F46" s="1">
        <v>0</v>
      </c>
      <c r="G46" s="1"/>
      <c r="H46" s="1">
        <v>0</v>
      </c>
      <c r="I46" s="4">
        <f>D46+F46+G46+H46</f>
        <v>0</v>
      </c>
      <c r="J46" s="6" t="e">
        <f aca="true" t="shared" si="7" ref="J46:J67">I46/$I$69</f>
        <v>#DIV/0!</v>
      </c>
    </row>
    <row r="47" spans="1:10" ht="12.75">
      <c r="A47" t="s">
        <v>23</v>
      </c>
      <c r="B47" t="s">
        <v>19</v>
      </c>
      <c r="D47" s="1">
        <v>0</v>
      </c>
      <c r="E47" s="7">
        <v>0</v>
      </c>
      <c r="F47" s="1">
        <v>0</v>
      </c>
      <c r="G47" s="1"/>
      <c r="H47" s="1">
        <v>0</v>
      </c>
      <c r="I47" s="4">
        <f>D47+F47+G47+H47</f>
        <v>0</v>
      </c>
      <c r="J47" s="6" t="e">
        <f t="shared" si="7"/>
        <v>#DIV/0!</v>
      </c>
    </row>
    <row r="48" spans="1:10" ht="12.75">
      <c r="A48" t="s">
        <v>23</v>
      </c>
      <c r="B48" t="s">
        <v>19</v>
      </c>
      <c r="D48" s="1">
        <v>0</v>
      </c>
      <c r="E48" s="7">
        <v>0</v>
      </c>
      <c r="F48" s="1">
        <v>0</v>
      </c>
      <c r="G48" s="1"/>
      <c r="H48" s="1">
        <v>0</v>
      </c>
      <c r="I48" s="4">
        <f>D48+F48+G48+H48</f>
        <v>0</v>
      </c>
      <c r="J48" s="6" t="e">
        <f t="shared" si="7"/>
        <v>#DIV/0!</v>
      </c>
    </row>
    <row r="49" spans="1:10" ht="12.75">
      <c r="A49" t="s">
        <v>23</v>
      </c>
      <c r="B49" t="s">
        <v>19</v>
      </c>
      <c r="D49" s="1">
        <v>0</v>
      </c>
      <c r="E49" s="7">
        <v>0</v>
      </c>
      <c r="F49" s="1">
        <v>0</v>
      </c>
      <c r="G49" s="1"/>
      <c r="H49" s="1">
        <v>0</v>
      </c>
      <c r="I49" s="4">
        <f aca="true" t="shared" si="8" ref="I49:I66">D49+F49+G49+H49</f>
        <v>0</v>
      </c>
      <c r="J49" s="6" t="e">
        <f t="shared" si="7"/>
        <v>#DIV/0!</v>
      </c>
    </row>
    <row r="50" spans="1:10" ht="12.75">
      <c r="A50" t="s">
        <v>23</v>
      </c>
      <c r="B50" t="s">
        <v>19</v>
      </c>
      <c r="D50" s="1">
        <v>0</v>
      </c>
      <c r="E50" s="7">
        <v>0</v>
      </c>
      <c r="F50" s="1">
        <v>0</v>
      </c>
      <c r="G50" s="1"/>
      <c r="H50" s="1">
        <v>0</v>
      </c>
      <c r="I50" s="4">
        <f t="shared" si="8"/>
        <v>0</v>
      </c>
      <c r="J50" s="6" t="e">
        <f t="shared" si="7"/>
        <v>#DIV/0!</v>
      </c>
    </row>
    <row r="51" spans="1:10" ht="12.75">
      <c r="A51" t="s">
        <v>23</v>
      </c>
      <c r="B51" t="s">
        <v>19</v>
      </c>
      <c r="D51" s="1">
        <v>0</v>
      </c>
      <c r="E51" s="7">
        <v>0</v>
      </c>
      <c r="F51" s="1">
        <v>0</v>
      </c>
      <c r="G51" s="1"/>
      <c r="H51" s="1">
        <v>0</v>
      </c>
      <c r="I51" s="4">
        <f t="shared" si="8"/>
        <v>0</v>
      </c>
      <c r="J51" s="6" t="e">
        <f t="shared" si="7"/>
        <v>#DIV/0!</v>
      </c>
    </row>
    <row r="52" spans="1:10" ht="12.75">
      <c r="A52" t="s">
        <v>23</v>
      </c>
      <c r="B52" t="s">
        <v>19</v>
      </c>
      <c r="D52" s="1">
        <v>0</v>
      </c>
      <c r="E52" s="7">
        <v>0</v>
      </c>
      <c r="F52" s="1">
        <v>0</v>
      </c>
      <c r="G52" s="1"/>
      <c r="H52" s="1">
        <v>0</v>
      </c>
      <c r="I52" s="4">
        <f t="shared" si="8"/>
        <v>0</v>
      </c>
      <c r="J52" s="6" t="e">
        <f t="shared" si="7"/>
        <v>#DIV/0!</v>
      </c>
    </row>
    <row r="53" spans="1:10" ht="12.75">
      <c r="A53" t="s">
        <v>23</v>
      </c>
      <c r="B53" t="s">
        <v>19</v>
      </c>
      <c r="D53" s="1">
        <v>0</v>
      </c>
      <c r="E53" s="7">
        <v>0</v>
      </c>
      <c r="F53" s="1">
        <v>0</v>
      </c>
      <c r="G53" s="1"/>
      <c r="H53" s="1">
        <v>0</v>
      </c>
      <c r="I53" s="4">
        <f t="shared" si="8"/>
        <v>0</v>
      </c>
      <c r="J53" s="6" t="e">
        <f t="shared" si="7"/>
        <v>#DIV/0!</v>
      </c>
    </row>
    <row r="54" spans="1:10" ht="12.75">
      <c r="A54" t="s">
        <v>23</v>
      </c>
      <c r="B54" t="s">
        <v>19</v>
      </c>
      <c r="D54" s="1">
        <v>0</v>
      </c>
      <c r="E54" s="7">
        <v>0</v>
      </c>
      <c r="F54" s="1">
        <v>0</v>
      </c>
      <c r="G54" s="1"/>
      <c r="H54" s="1">
        <v>0</v>
      </c>
      <c r="I54" s="4">
        <f t="shared" si="8"/>
        <v>0</v>
      </c>
      <c r="J54" s="6" t="e">
        <f t="shared" si="7"/>
        <v>#DIV/0!</v>
      </c>
    </row>
    <row r="55" spans="1:10" ht="12.75">
      <c r="A55" t="s">
        <v>23</v>
      </c>
      <c r="B55" t="s">
        <v>19</v>
      </c>
      <c r="D55" s="1">
        <v>0</v>
      </c>
      <c r="E55" s="7">
        <v>0</v>
      </c>
      <c r="F55" s="1">
        <v>0</v>
      </c>
      <c r="G55" s="1"/>
      <c r="H55" s="1">
        <v>0</v>
      </c>
      <c r="I55" s="4">
        <f t="shared" si="8"/>
        <v>0</v>
      </c>
      <c r="J55" s="6" t="e">
        <f t="shared" si="7"/>
        <v>#DIV/0!</v>
      </c>
    </row>
    <row r="56" spans="1:10" ht="12.75">
      <c r="A56" t="s">
        <v>23</v>
      </c>
      <c r="B56" t="s">
        <v>19</v>
      </c>
      <c r="D56" s="1">
        <v>0</v>
      </c>
      <c r="E56" s="7">
        <v>0</v>
      </c>
      <c r="F56" s="1">
        <v>0</v>
      </c>
      <c r="G56" s="1"/>
      <c r="H56" s="1">
        <v>0</v>
      </c>
      <c r="I56" s="4">
        <f t="shared" si="8"/>
        <v>0</v>
      </c>
      <c r="J56" s="6" t="e">
        <f t="shared" si="7"/>
        <v>#DIV/0!</v>
      </c>
    </row>
    <row r="57" spans="1:10" ht="12.75">
      <c r="A57" t="s">
        <v>23</v>
      </c>
      <c r="B57" t="s">
        <v>19</v>
      </c>
      <c r="D57" s="1">
        <v>0</v>
      </c>
      <c r="E57" s="7">
        <v>0</v>
      </c>
      <c r="F57" s="1">
        <v>0</v>
      </c>
      <c r="G57" s="1"/>
      <c r="H57" s="1">
        <v>0</v>
      </c>
      <c r="I57" s="4">
        <f t="shared" si="8"/>
        <v>0</v>
      </c>
      <c r="J57" s="6" t="e">
        <f t="shared" si="7"/>
        <v>#DIV/0!</v>
      </c>
    </row>
    <row r="58" spans="1:10" ht="12.75">
      <c r="A58" t="s">
        <v>23</v>
      </c>
      <c r="B58" t="s">
        <v>19</v>
      </c>
      <c r="D58" s="1">
        <v>0</v>
      </c>
      <c r="E58" s="7">
        <v>0</v>
      </c>
      <c r="F58" s="1">
        <v>0</v>
      </c>
      <c r="G58" s="1"/>
      <c r="H58" s="1">
        <v>0</v>
      </c>
      <c r="I58" s="4">
        <f t="shared" si="8"/>
        <v>0</v>
      </c>
      <c r="J58" s="6" t="e">
        <f t="shared" si="7"/>
        <v>#DIV/0!</v>
      </c>
    </row>
    <row r="59" spans="1:10" ht="12.75">
      <c r="A59" t="s">
        <v>23</v>
      </c>
      <c r="B59" t="s">
        <v>19</v>
      </c>
      <c r="D59" s="1">
        <v>0</v>
      </c>
      <c r="E59" s="7">
        <v>0</v>
      </c>
      <c r="F59" s="1">
        <v>0</v>
      </c>
      <c r="G59" s="1"/>
      <c r="H59" s="1">
        <v>0</v>
      </c>
      <c r="I59" s="4">
        <f t="shared" si="8"/>
        <v>0</v>
      </c>
      <c r="J59" s="6" t="e">
        <f t="shared" si="7"/>
        <v>#DIV/0!</v>
      </c>
    </row>
    <row r="60" spans="1:10" ht="12.75">
      <c r="A60" t="s">
        <v>23</v>
      </c>
      <c r="B60" t="s">
        <v>19</v>
      </c>
      <c r="D60" s="1">
        <v>0</v>
      </c>
      <c r="E60" s="7">
        <v>0</v>
      </c>
      <c r="F60" s="1">
        <v>0</v>
      </c>
      <c r="G60" s="1"/>
      <c r="H60" s="1">
        <v>0</v>
      </c>
      <c r="I60" s="4">
        <f t="shared" si="8"/>
        <v>0</v>
      </c>
      <c r="J60" s="6" t="e">
        <f t="shared" si="7"/>
        <v>#DIV/0!</v>
      </c>
    </row>
    <row r="61" spans="1:10" ht="12.75">
      <c r="A61" t="s">
        <v>23</v>
      </c>
      <c r="B61" t="s">
        <v>19</v>
      </c>
      <c r="D61" s="1">
        <v>0</v>
      </c>
      <c r="E61" s="7">
        <v>0</v>
      </c>
      <c r="F61" s="1">
        <v>0</v>
      </c>
      <c r="G61" s="1"/>
      <c r="H61" s="1">
        <v>0</v>
      </c>
      <c r="I61" s="4">
        <f t="shared" si="8"/>
        <v>0</v>
      </c>
      <c r="J61" s="6" t="e">
        <f t="shared" si="7"/>
        <v>#DIV/0!</v>
      </c>
    </row>
    <row r="62" spans="1:10" ht="12.75">
      <c r="A62" t="s">
        <v>23</v>
      </c>
      <c r="B62" t="s">
        <v>19</v>
      </c>
      <c r="D62" s="1">
        <v>0</v>
      </c>
      <c r="E62" s="7">
        <v>0</v>
      </c>
      <c r="F62" s="1">
        <v>0</v>
      </c>
      <c r="G62" s="1"/>
      <c r="H62" s="1">
        <v>0</v>
      </c>
      <c r="I62" s="4">
        <f t="shared" si="8"/>
        <v>0</v>
      </c>
      <c r="J62" s="6" t="e">
        <f t="shared" si="7"/>
        <v>#DIV/0!</v>
      </c>
    </row>
    <row r="63" spans="1:10" ht="12.75">
      <c r="A63" t="s">
        <v>23</v>
      </c>
      <c r="B63" t="s">
        <v>19</v>
      </c>
      <c r="D63" s="1">
        <v>0</v>
      </c>
      <c r="E63" s="7">
        <v>0</v>
      </c>
      <c r="F63" s="1">
        <v>0</v>
      </c>
      <c r="G63" s="1"/>
      <c r="H63" s="1">
        <v>0</v>
      </c>
      <c r="I63" s="4">
        <f t="shared" si="8"/>
        <v>0</v>
      </c>
      <c r="J63" s="6" t="e">
        <f t="shared" si="7"/>
        <v>#DIV/0!</v>
      </c>
    </row>
    <row r="64" spans="1:10" ht="12.75">
      <c r="A64" t="s">
        <v>23</v>
      </c>
      <c r="B64" t="s">
        <v>19</v>
      </c>
      <c r="D64" s="1">
        <v>0</v>
      </c>
      <c r="E64" s="7">
        <v>0</v>
      </c>
      <c r="F64" s="1">
        <v>0</v>
      </c>
      <c r="G64" s="1"/>
      <c r="H64" s="1">
        <v>0</v>
      </c>
      <c r="I64" s="4">
        <f t="shared" si="8"/>
        <v>0</v>
      </c>
      <c r="J64" s="6" t="e">
        <f t="shared" si="7"/>
        <v>#DIV/0!</v>
      </c>
    </row>
    <row r="65" spans="1:10" ht="12.75">
      <c r="A65" t="s">
        <v>23</v>
      </c>
      <c r="B65" t="s">
        <v>19</v>
      </c>
      <c r="D65" s="1">
        <v>0</v>
      </c>
      <c r="E65" s="7">
        <v>0</v>
      </c>
      <c r="F65" s="1">
        <v>0</v>
      </c>
      <c r="G65" s="1"/>
      <c r="H65" s="1">
        <v>0</v>
      </c>
      <c r="I65" s="4">
        <f t="shared" si="8"/>
        <v>0</v>
      </c>
      <c r="J65" s="6" t="e">
        <f t="shared" si="7"/>
        <v>#DIV/0!</v>
      </c>
    </row>
    <row r="66" spans="1:10" ht="12.75">
      <c r="A66" t="s">
        <v>24</v>
      </c>
      <c r="B66" t="s">
        <v>25</v>
      </c>
      <c r="D66" s="1">
        <v>0</v>
      </c>
      <c r="E66" s="7">
        <v>0</v>
      </c>
      <c r="F66" s="1">
        <v>0</v>
      </c>
      <c r="G66" s="1"/>
      <c r="H66" s="1">
        <v>0</v>
      </c>
      <c r="I66" s="4">
        <f t="shared" si="8"/>
        <v>0</v>
      </c>
      <c r="J66" s="6" t="e">
        <f t="shared" si="7"/>
        <v>#DIV/0!</v>
      </c>
    </row>
    <row r="67" spans="4:10" ht="12.75">
      <c r="D67" s="1"/>
      <c r="E67" s="7"/>
      <c r="F67" s="1"/>
      <c r="G67" s="1"/>
      <c r="H67" s="1"/>
      <c r="I67" s="4"/>
      <c r="J67" s="6" t="e">
        <f t="shared" si="7"/>
        <v>#DIV/0!</v>
      </c>
    </row>
    <row r="68" spans="4:7" ht="12.75">
      <c r="D68" s="1"/>
      <c r="E68" s="7"/>
      <c r="F68" s="1"/>
      <c r="G68" s="1"/>
    </row>
    <row r="69" spans="1:10" ht="15">
      <c r="A69" s="2" t="s">
        <v>13</v>
      </c>
      <c r="D69" s="9">
        <f>SUM(D9:D67)</f>
        <v>0</v>
      </c>
      <c r="E69" s="15">
        <f>SUM(E9:E67)</f>
        <v>0</v>
      </c>
      <c r="F69" s="9">
        <f>SUM(F9:F67)</f>
        <v>0</v>
      </c>
      <c r="G69" s="9">
        <f>SUM(G9:G67)</f>
        <v>0</v>
      </c>
      <c r="H69" s="9">
        <f>SUM(H9:H67)</f>
        <v>0</v>
      </c>
      <c r="I69" s="9">
        <f>SUM(I10:I68)</f>
        <v>0</v>
      </c>
      <c r="J69" s="10" t="e">
        <f>SUM(J10:J68)</f>
        <v>#DIV/0!</v>
      </c>
    </row>
    <row r="70" ht="12.75">
      <c r="G70" s="6"/>
    </row>
  </sheetData>
  <sheetProtection/>
  <printOptions gridLines="1"/>
  <pageMargins left="0.75" right="0.75" top="1" bottom="1" header="0.5" footer="0.5"/>
  <pageSetup fitToHeight="1" fitToWidth="1" horizontalDpi="600" verticalDpi="600" orientation="portrait" scale="46"/>
  <customProperties>
    <customPr name="DVSECTIONID" r:id="rId1"/>
  </customProperties>
</worksheet>
</file>

<file path=xl/worksheets/sheet2.xml><?xml version="1.0" encoding="utf-8"?>
<worksheet xmlns="http://schemas.openxmlformats.org/spreadsheetml/2006/main" xmlns:r="http://schemas.openxmlformats.org/officeDocument/2006/relationships">
  <dimension ref="A1:I54"/>
  <sheetViews>
    <sheetView workbookViewId="0" topLeftCell="A1">
      <selection activeCell="A45" sqref="A45"/>
    </sheetView>
  </sheetViews>
  <sheetFormatPr defaultColWidth="8.8515625" defaultRowHeight="12.75"/>
  <cols>
    <col min="1" max="1" width="21.7109375" style="0" customWidth="1"/>
    <col min="2" max="2" width="21.8515625" style="0" customWidth="1"/>
    <col min="3" max="3" width="13.28125" style="0" customWidth="1"/>
    <col min="4" max="4" width="12.8515625" style="0" customWidth="1"/>
    <col min="5" max="5" width="13.421875" style="0" customWidth="1"/>
    <col min="6" max="6" width="12.421875" style="0" customWidth="1"/>
    <col min="7" max="7" width="13.421875" style="0" customWidth="1"/>
    <col min="8" max="8" width="15.421875" style="0" customWidth="1"/>
    <col min="9" max="9" width="14.28125" style="0" customWidth="1"/>
  </cols>
  <sheetData>
    <row r="1" spans="1:7" ht="15">
      <c r="A1" s="2" t="s">
        <v>34</v>
      </c>
      <c r="B1" s="1"/>
      <c r="C1" s="1"/>
      <c r="D1" s="1"/>
      <c r="E1" s="1"/>
      <c r="F1" s="1"/>
      <c r="G1" s="1"/>
    </row>
    <row r="2" spans="1:9" ht="55.5" customHeight="1">
      <c r="A2" s="33" t="s">
        <v>32</v>
      </c>
      <c r="B2" s="33"/>
      <c r="C2" s="33"/>
      <c r="D2" s="33"/>
      <c r="E2" s="33"/>
      <c r="F2" s="33"/>
      <c r="G2" s="33"/>
      <c r="H2" s="33"/>
      <c r="I2" s="33"/>
    </row>
    <row r="3" spans="1:7" ht="12.75">
      <c r="A3" s="18"/>
      <c r="B3" s="1"/>
      <c r="C3" s="1"/>
      <c r="D3" s="1"/>
      <c r="E3" s="1"/>
      <c r="F3" s="1"/>
      <c r="G3" s="1"/>
    </row>
    <row r="4" spans="2:9" ht="12.75">
      <c r="B4" s="13" t="s">
        <v>0</v>
      </c>
      <c r="C4" s="13" t="s">
        <v>1</v>
      </c>
      <c r="D4" s="13" t="s">
        <v>2</v>
      </c>
      <c r="E4" s="13" t="s">
        <v>3</v>
      </c>
      <c r="F4" s="13" t="s">
        <v>4</v>
      </c>
      <c r="G4" s="13" t="s">
        <v>5</v>
      </c>
      <c r="H4" s="13" t="s">
        <v>6</v>
      </c>
      <c r="I4" s="13" t="s">
        <v>7</v>
      </c>
    </row>
    <row r="5" spans="1:7" ht="12.75">
      <c r="A5" s="17" t="s">
        <v>16</v>
      </c>
      <c r="F5" s="4"/>
      <c r="G5" s="5" t="s">
        <v>8</v>
      </c>
    </row>
    <row r="6" ht="12.75">
      <c r="A6" s="8" t="s">
        <v>27</v>
      </c>
    </row>
    <row r="7" spans="1:9" ht="12.75">
      <c r="A7" t="s">
        <v>17</v>
      </c>
      <c r="B7" t="s">
        <v>19</v>
      </c>
      <c r="C7" s="1">
        <v>0</v>
      </c>
      <c r="D7" s="7">
        <v>10000</v>
      </c>
      <c r="E7" s="1">
        <f>D7/0.01</f>
        <v>1000000</v>
      </c>
      <c r="F7" s="1">
        <v>1000000</v>
      </c>
      <c r="G7" s="1">
        <f>0.2*C7</f>
        <v>0</v>
      </c>
      <c r="H7" s="4">
        <f>C7+E7+F7+G7</f>
        <v>2000000</v>
      </c>
      <c r="I7" s="6">
        <f>H7/$H$11</f>
        <v>0.4</v>
      </c>
    </row>
    <row r="8" spans="1:9" ht="12.75">
      <c r="A8" t="s">
        <v>18</v>
      </c>
      <c r="B8" t="s">
        <v>19</v>
      </c>
      <c r="C8" s="1">
        <v>0</v>
      </c>
      <c r="D8" s="7">
        <v>10000</v>
      </c>
      <c r="E8" s="1">
        <f>D8/0.01</f>
        <v>1000000</v>
      </c>
      <c r="F8" s="1">
        <v>1000000</v>
      </c>
      <c r="G8" s="1">
        <f>0.2*C8</f>
        <v>0</v>
      </c>
      <c r="H8" s="4">
        <f>C8+E8+F8+G8</f>
        <v>2000000</v>
      </c>
      <c r="I8" s="6">
        <f>H8/$H$11</f>
        <v>0.4</v>
      </c>
    </row>
    <row r="9" spans="1:9" ht="12.75">
      <c r="A9" t="s">
        <v>9</v>
      </c>
      <c r="B9" t="s">
        <v>19</v>
      </c>
      <c r="C9">
        <v>0</v>
      </c>
      <c r="D9" s="7">
        <v>25000</v>
      </c>
      <c r="E9" s="1">
        <f>D9/0.05</f>
        <v>500000</v>
      </c>
      <c r="F9" s="1">
        <v>500000</v>
      </c>
      <c r="G9" s="1">
        <v>0</v>
      </c>
      <c r="H9" s="4">
        <f>C9+E9+F9+G9</f>
        <v>1000000</v>
      </c>
      <c r="I9" s="6">
        <f>H9/$H$11</f>
        <v>0.2</v>
      </c>
    </row>
    <row r="10" spans="2:7" ht="12.75">
      <c r="B10" s="1"/>
      <c r="C10" s="1"/>
      <c r="D10" s="1"/>
      <c r="E10" s="1"/>
      <c r="F10" s="1"/>
      <c r="G10" s="1"/>
    </row>
    <row r="11" spans="1:9" ht="12.75">
      <c r="A11" s="17" t="s">
        <v>13</v>
      </c>
      <c r="C11" s="9">
        <f aca="true" t="shared" si="0" ref="C11:H11">SUM(C7:C10)</f>
        <v>0</v>
      </c>
      <c r="D11" s="15">
        <f t="shared" si="0"/>
        <v>45000</v>
      </c>
      <c r="E11" s="9">
        <f t="shared" si="0"/>
        <v>2500000</v>
      </c>
      <c r="F11" s="9">
        <f t="shared" si="0"/>
        <v>2500000</v>
      </c>
      <c r="G11" s="9">
        <f t="shared" si="0"/>
        <v>0</v>
      </c>
      <c r="H11" s="9">
        <f t="shared" si="0"/>
        <v>5000000</v>
      </c>
      <c r="I11" s="10">
        <v>1</v>
      </c>
    </row>
    <row r="12" spans="2:7" ht="12.75">
      <c r="B12" s="1"/>
      <c r="C12" s="1"/>
      <c r="D12" s="1"/>
      <c r="E12" s="1"/>
      <c r="F12" s="1"/>
      <c r="G12" s="1"/>
    </row>
    <row r="13" spans="1:6" ht="15">
      <c r="A13" s="2" t="s">
        <v>28</v>
      </c>
      <c r="D13" s="7"/>
      <c r="F13" s="1"/>
    </row>
    <row r="14" spans="1:9" ht="84" customHeight="1">
      <c r="A14" s="33" t="s">
        <v>33</v>
      </c>
      <c r="B14" s="33"/>
      <c r="C14" s="33"/>
      <c r="D14" s="33"/>
      <c r="E14" s="33"/>
      <c r="F14" s="33"/>
      <c r="G14" s="33"/>
      <c r="H14" s="33"/>
      <c r="I14" s="33"/>
    </row>
    <row r="15" spans="1:9" ht="12.75">
      <c r="A15" s="20" t="s">
        <v>29</v>
      </c>
      <c r="C15">
        <v>0</v>
      </c>
      <c r="D15" s="7">
        <v>45000</v>
      </c>
      <c r="E15" s="21">
        <v>2500000</v>
      </c>
      <c r="F15" s="1">
        <v>2500000</v>
      </c>
      <c r="G15">
        <v>0</v>
      </c>
      <c r="H15" s="1">
        <v>5000000</v>
      </c>
      <c r="I15" s="22">
        <v>0.4098</v>
      </c>
    </row>
    <row r="16" spans="1:4" ht="12.75">
      <c r="A16" s="8" t="s">
        <v>20</v>
      </c>
      <c r="D16" s="7"/>
    </row>
    <row r="17" spans="1:9" ht="12.75">
      <c r="A17" s="14" t="s">
        <v>10</v>
      </c>
      <c r="B17" t="s">
        <v>19</v>
      </c>
      <c r="C17" s="1">
        <f>D17/0.1</f>
        <v>1000000</v>
      </c>
      <c r="D17" s="7">
        <v>100000</v>
      </c>
      <c r="E17">
        <v>0</v>
      </c>
      <c r="F17">
        <v>0</v>
      </c>
      <c r="G17" s="1">
        <f aca="true" t="shared" si="1" ref="G17:G24">0.2*C17</f>
        <v>200000</v>
      </c>
      <c r="H17" s="4">
        <f>C17+E17+F17+G17</f>
        <v>1200000</v>
      </c>
      <c r="I17" s="6">
        <f>H17/$H$28</f>
        <v>0.09836065573770492</v>
      </c>
    </row>
    <row r="18" spans="1:9" ht="12.75">
      <c r="A18" s="3" t="s">
        <v>10</v>
      </c>
      <c r="B18" t="s">
        <v>19</v>
      </c>
      <c r="C18" s="1">
        <f aca="true" t="shared" si="2" ref="C18:C24">D18/0.1</f>
        <v>1000000</v>
      </c>
      <c r="D18" s="7">
        <v>100000</v>
      </c>
      <c r="E18">
        <v>0</v>
      </c>
      <c r="F18" s="1">
        <v>0</v>
      </c>
      <c r="G18" s="1">
        <f t="shared" si="1"/>
        <v>200000</v>
      </c>
      <c r="H18" s="4">
        <f aca="true" t="shared" si="3" ref="H18:H26">C18+E18+F18+G18</f>
        <v>1200000</v>
      </c>
      <c r="I18" s="6">
        <f aca="true" t="shared" si="4" ref="I18:I26">H18/$H$28</f>
        <v>0.09836065573770492</v>
      </c>
    </row>
    <row r="19" spans="1:9" ht="12.75">
      <c r="A19" s="3" t="s">
        <v>11</v>
      </c>
      <c r="B19" t="s">
        <v>19</v>
      </c>
      <c r="C19" s="1">
        <f t="shared" si="2"/>
        <v>500000</v>
      </c>
      <c r="D19" s="7">
        <v>50000</v>
      </c>
      <c r="E19">
        <v>0</v>
      </c>
      <c r="F19" s="1">
        <v>0</v>
      </c>
      <c r="G19" s="1">
        <f t="shared" si="1"/>
        <v>100000</v>
      </c>
      <c r="H19" s="4">
        <f t="shared" si="3"/>
        <v>600000</v>
      </c>
      <c r="I19" s="6">
        <f t="shared" si="4"/>
        <v>0.04918032786885246</v>
      </c>
    </row>
    <row r="20" spans="1:9" ht="12.75">
      <c r="A20" s="3" t="s">
        <v>11</v>
      </c>
      <c r="B20" t="s">
        <v>19</v>
      </c>
      <c r="C20" s="1">
        <f t="shared" si="2"/>
        <v>500000</v>
      </c>
      <c r="D20" s="7">
        <v>50000</v>
      </c>
      <c r="E20">
        <v>0</v>
      </c>
      <c r="F20" s="1">
        <v>0</v>
      </c>
      <c r="G20" s="1">
        <f t="shared" si="1"/>
        <v>100000</v>
      </c>
      <c r="H20" s="4">
        <f t="shared" si="3"/>
        <v>600000</v>
      </c>
      <c r="I20" s="6">
        <f t="shared" si="4"/>
        <v>0.04918032786885246</v>
      </c>
    </row>
    <row r="21" spans="1:9" ht="12.75">
      <c r="A21" s="3" t="s">
        <v>11</v>
      </c>
      <c r="B21" t="s">
        <v>19</v>
      </c>
      <c r="C21" s="1">
        <f t="shared" si="2"/>
        <v>500000</v>
      </c>
      <c r="D21" s="7">
        <v>50000</v>
      </c>
      <c r="E21">
        <v>0</v>
      </c>
      <c r="F21" s="1">
        <v>0</v>
      </c>
      <c r="G21" s="1">
        <f t="shared" si="1"/>
        <v>100000</v>
      </c>
      <c r="H21" s="4">
        <f t="shared" si="3"/>
        <v>600000</v>
      </c>
      <c r="I21" s="6">
        <f t="shared" si="4"/>
        <v>0.04918032786885246</v>
      </c>
    </row>
    <row r="22" spans="1:9" ht="12.75">
      <c r="A22" s="3" t="s">
        <v>11</v>
      </c>
      <c r="B22" t="s">
        <v>19</v>
      </c>
      <c r="C22" s="1">
        <f t="shared" si="2"/>
        <v>500000</v>
      </c>
      <c r="D22" s="7">
        <v>50000</v>
      </c>
      <c r="E22">
        <v>0</v>
      </c>
      <c r="F22" s="1">
        <v>0</v>
      </c>
      <c r="G22" s="1">
        <f t="shared" si="1"/>
        <v>100000</v>
      </c>
      <c r="H22" s="4">
        <f t="shared" si="3"/>
        <v>600000</v>
      </c>
      <c r="I22" s="6">
        <f t="shared" si="4"/>
        <v>0.04918032786885246</v>
      </c>
    </row>
    <row r="23" spans="1:9" ht="12.75">
      <c r="A23" s="3" t="s">
        <v>11</v>
      </c>
      <c r="B23" t="s">
        <v>19</v>
      </c>
      <c r="C23" s="1">
        <f t="shared" si="2"/>
        <v>500000</v>
      </c>
      <c r="D23" s="7">
        <v>50000</v>
      </c>
      <c r="E23">
        <v>0</v>
      </c>
      <c r="F23" s="1">
        <v>0</v>
      </c>
      <c r="G23" s="1">
        <f t="shared" si="1"/>
        <v>100000</v>
      </c>
      <c r="H23" s="4">
        <f t="shared" si="3"/>
        <v>600000</v>
      </c>
      <c r="I23" s="6">
        <f t="shared" si="4"/>
        <v>0.04918032786885246</v>
      </c>
    </row>
    <row r="24" spans="1:9" ht="12.75">
      <c r="A24" s="3" t="s">
        <v>11</v>
      </c>
      <c r="B24" t="s">
        <v>19</v>
      </c>
      <c r="C24" s="1">
        <f t="shared" si="2"/>
        <v>500000</v>
      </c>
      <c r="D24" s="7">
        <v>50000</v>
      </c>
      <c r="E24">
        <v>0</v>
      </c>
      <c r="F24" s="1">
        <v>0</v>
      </c>
      <c r="G24" s="1">
        <f t="shared" si="1"/>
        <v>100000</v>
      </c>
      <c r="H24" s="4">
        <f t="shared" si="3"/>
        <v>600000</v>
      </c>
      <c r="I24" s="6">
        <f t="shared" si="4"/>
        <v>0.04918032786885246</v>
      </c>
    </row>
    <row r="25" spans="1:9" ht="12.75">
      <c r="A25" s="3"/>
      <c r="C25" s="1"/>
      <c r="D25" s="7"/>
      <c r="F25" s="1"/>
      <c r="G25" s="1"/>
      <c r="H25" s="4"/>
      <c r="I25" s="6"/>
    </row>
    <row r="26" spans="1:9" ht="12.75">
      <c r="A26" s="3" t="s">
        <v>30</v>
      </c>
      <c r="B26" t="s">
        <v>31</v>
      </c>
      <c r="C26" s="1">
        <v>0</v>
      </c>
      <c r="D26" s="7">
        <v>0</v>
      </c>
      <c r="E26">
        <v>0</v>
      </c>
      <c r="F26" s="1">
        <v>1200000</v>
      </c>
      <c r="G26" s="1">
        <v>0</v>
      </c>
      <c r="H26" s="4">
        <f t="shared" si="3"/>
        <v>1200000</v>
      </c>
      <c r="I26" s="6">
        <f t="shared" si="4"/>
        <v>0.09836065573770492</v>
      </c>
    </row>
    <row r="27" ht="12.75">
      <c r="I27" s="6"/>
    </row>
    <row r="28" spans="1:9" ht="12.75">
      <c r="A28" s="17" t="s">
        <v>13</v>
      </c>
      <c r="C28" s="9">
        <f aca="true" t="shared" si="5" ref="C28:H28">SUM(C15:C27)</f>
        <v>5000000</v>
      </c>
      <c r="D28" s="15">
        <f t="shared" si="5"/>
        <v>545000</v>
      </c>
      <c r="E28" s="9">
        <f t="shared" si="5"/>
        <v>2500000</v>
      </c>
      <c r="F28" s="9">
        <f t="shared" si="5"/>
        <v>3700000</v>
      </c>
      <c r="G28" s="9">
        <f t="shared" si="5"/>
        <v>1000000</v>
      </c>
      <c r="H28" s="9">
        <f t="shared" si="5"/>
        <v>12200000</v>
      </c>
      <c r="I28" s="10">
        <f>SUM(I15:I27)</f>
        <v>0.9999639344262298</v>
      </c>
    </row>
    <row r="30" ht="15">
      <c r="A30" s="2" t="s">
        <v>35</v>
      </c>
    </row>
    <row r="31" spans="1:9" ht="36" customHeight="1">
      <c r="A31" s="33" t="s">
        <v>37</v>
      </c>
      <c r="B31" s="33"/>
      <c r="C31" s="33"/>
      <c r="D31" s="33"/>
      <c r="E31" s="33"/>
      <c r="F31" s="33"/>
      <c r="G31" s="33"/>
      <c r="H31" s="33"/>
      <c r="I31" s="33"/>
    </row>
    <row r="32" spans="1:9" ht="12.75">
      <c r="A32" s="20" t="s">
        <v>29</v>
      </c>
      <c r="C32" s="1">
        <v>5000000</v>
      </c>
      <c r="D32" s="7">
        <v>545000</v>
      </c>
      <c r="E32" s="1">
        <v>2500000</v>
      </c>
      <c r="F32" s="1">
        <v>3700000</v>
      </c>
      <c r="G32" s="1">
        <v>1000000</v>
      </c>
      <c r="H32" s="1">
        <v>12200000</v>
      </c>
      <c r="I32" s="6">
        <v>0.6703</v>
      </c>
    </row>
    <row r="33" spans="1:9" ht="12.75">
      <c r="A33" s="8" t="s">
        <v>21</v>
      </c>
      <c r="C33" s="1"/>
      <c r="D33" s="7"/>
      <c r="E33" s="1"/>
      <c r="H33" s="4"/>
      <c r="I33" s="6"/>
    </row>
    <row r="34" spans="1:9" ht="12.75">
      <c r="A34" s="14" t="s">
        <v>10</v>
      </c>
      <c r="B34" t="s">
        <v>19</v>
      </c>
      <c r="C34" s="1">
        <f aca="true" t="shared" si="6" ref="C34:C39">D34/0.5</f>
        <v>2000000</v>
      </c>
      <c r="D34" s="7">
        <v>1000000</v>
      </c>
      <c r="E34" s="1">
        <v>0</v>
      </c>
      <c r="F34">
        <v>0</v>
      </c>
      <c r="G34" s="1">
        <v>0</v>
      </c>
      <c r="H34" s="4">
        <f aca="true" t="shared" si="7" ref="H34:H39">C34+E34+F34+G34</f>
        <v>2000000</v>
      </c>
      <c r="I34" s="6">
        <f aca="true" t="shared" si="8" ref="I34:I39">H34/$H$41</f>
        <v>0.10989010989010989</v>
      </c>
    </row>
    <row r="35" spans="1:9" ht="12.75">
      <c r="A35" s="14" t="s">
        <v>10</v>
      </c>
      <c r="B35" t="s">
        <v>19</v>
      </c>
      <c r="C35" s="1">
        <f t="shared" si="6"/>
        <v>2000000</v>
      </c>
      <c r="D35" s="7">
        <v>1000000</v>
      </c>
      <c r="E35" s="1">
        <v>0</v>
      </c>
      <c r="F35">
        <v>0</v>
      </c>
      <c r="G35" s="1">
        <v>0</v>
      </c>
      <c r="H35" s="4">
        <f t="shared" si="7"/>
        <v>2000000</v>
      </c>
      <c r="I35" s="6">
        <f t="shared" si="8"/>
        <v>0.10989010989010989</v>
      </c>
    </row>
    <row r="36" spans="1:9" ht="12.75">
      <c r="A36" s="14" t="s">
        <v>11</v>
      </c>
      <c r="B36" t="s">
        <v>19</v>
      </c>
      <c r="C36" s="1">
        <f t="shared" si="6"/>
        <v>1000000</v>
      </c>
      <c r="D36" s="7">
        <v>500000</v>
      </c>
      <c r="E36" s="1">
        <v>0</v>
      </c>
      <c r="F36">
        <v>0</v>
      </c>
      <c r="G36" s="1">
        <v>0</v>
      </c>
      <c r="H36" s="4">
        <f>C36+E36+F36+G36</f>
        <v>1000000</v>
      </c>
      <c r="I36" s="6">
        <f t="shared" si="8"/>
        <v>0.054945054945054944</v>
      </c>
    </row>
    <row r="37" spans="1:9" ht="12.75">
      <c r="A37" s="14" t="s">
        <v>10</v>
      </c>
      <c r="B37" t="s">
        <v>19</v>
      </c>
      <c r="C37" s="1">
        <f t="shared" si="6"/>
        <v>500000</v>
      </c>
      <c r="D37" s="7">
        <v>250000</v>
      </c>
      <c r="E37" s="1">
        <v>0</v>
      </c>
      <c r="F37">
        <v>0</v>
      </c>
      <c r="G37" s="1">
        <v>0</v>
      </c>
      <c r="H37" s="4">
        <f t="shared" si="7"/>
        <v>500000</v>
      </c>
      <c r="I37" s="6">
        <f t="shared" si="8"/>
        <v>0.027472527472527472</v>
      </c>
    </row>
    <row r="38" spans="1:9" ht="12.75">
      <c r="A38" s="14" t="s">
        <v>11</v>
      </c>
      <c r="B38" t="s">
        <v>19</v>
      </c>
      <c r="C38" s="1">
        <f t="shared" si="6"/>
        <v>300000</v>
      </c>
      <c r="D38" s="7">
        <v>150000</v>
      </c>
      <c r="E38" s="1">
        <v>0</v>
      </c>
      <c r="F38">
        <v>0</v>
      </c>
      <c r="G38" s="1">
        <v>0</v>
      </c>
      <c r="H38" s="4">
        <f>C38+E38+F38+G38</f>
        <v>300000</v>
      </c>
      <c r="I38" s="6">
        <f t="shared" si="8"/>
        <v>0.016483516483516484</v>
      </c>
    </row>
    <row r="39" spans="1:9" ht="12.75">
      <c r="A39" s="14" t="s">
        <v>11</v>
      </c>
      <c r="B39" t="s">
        <v>19</v>
      </c>
      <c r="C39" s="1">
        <f t="shared" si="6"/>
        <v>200000</v>
      </c>
      <c r="D39" s="7">
        <v>100000</v>
      </c>
      <c r="E39" s="1">
        <v>0</v>
      </c>
      <c r="F39">
        <v>0</v>
      </c>
      <c r="G39" s="1">
        <v>0</v>
      </c>
      <c r="H39" s="4">
        <f t="shared" si="7"/>
        <v>200000</v>
      </c>
      <c r="I39" s="6">
        <f t="shared" si="8"/>
        <v>0.01098901098901099</v>
      </c>
    </row>
    <row r="40" ht="12.75">
      <c r="I40" s="6"/>
    </row>
    <row r="41" spans="1:9" ht="12.75">
      <c r="A41" s="8" t="s">
        <v>13</v>
      </c>
      <c r="C41" s="9">
        <f aca="true" t="shared" si="9" ref="C41:H41">SUM(C32:C40)</f>
        <v>11000000</v>
      </c>
      <c r="D41" s="15">
        <f t="shared" si="9"/>
        <v>3545000</v>
      </c>
      <c r="E41" s="9">
        <f t="shared" si="9"/>
        <v>2500000</v>
      </c>
      <c r="F41" s="9">
        <f t="shared" si="9"/>
        <v>3700000</v>
      </c>
      <c r="G41" s="9">
        <f t="shared" si="9"/>
        <v>1000000</v>
      </c>
      <c r="H41" s="9">
        <f t="shared" si="9"/>
        <v>18200000</v>
      </c>
      <c r="I41" s="10">
        <f>SUM(I32:I40)</f>
        <v>0.9999703296703297</v>
      </c>
    </row>
    <row r="43" ht="15">
      <c r="A43" s="2" t="s">
        <v>36</v>
      </c>
    </row>
    <row r="44" spans="1:9" ht="28.5" customHeight="1">
      <c r="A44" s="33" t="s">
        <v>38</v>
      </c>
      <c r="B44" s="33"/>
      <c r="C44" s="33"/>
      <c r="D44" s="33"/>
      <c r="E44" s="33"/>
      <c r="F44" s="33"/>
      <c r="G44" s="33"/>
      <c r="H44" s="33"/>
      <c r="I44" s="33"/>
    </row>
    <row r="45" spans="1:9" ht="13.5" customHeight="1">
      <c r="A45" s="19" t="s">
        <v>29</v>
      </c>
      <c r="B45" s="19"/>
      <c r="C45" s="23">
        <v>11000000</v>
      </c>
      <c r="D45" s="24">
        <v>3545000</v>
      </c>
      <c r="E45" s="23">
        <v>2500000</v>
      </c>
      <c r="F45" s="23">
        <v>3700000</v>
      </c>
      <c r="G45" s="23">
        <v>1000000</v>
      </c>
      <c r="H45" s="23">
        <v>18200000</v>
      </c>
      <c r="I45" s="26">
        <v>0.6169</v>
      </c>
    </row>
    <row r="46" spans="1:8" ht="12.75">
      <c r="A46" s="8" t="s">
        <v>22</v>
      </c>
      <c r="C46" s="1"/>
      <c r="D46" s="7"/>
      <c r="E46" s="1"/>
      <c r="G46" s="1"/>
      <c r="H46" s="4"/>
    </row>
    <row r="47" spans="1:9" ht="12.75">
      <c r="A47" s="14" t="s">
        <v>11</v>
      </c>
      <c r="B47" t="s">
        <v>19</v>
      </c>
      <c r="C47" s="1">
        <f>D47/1</f>
        <v>3000000</v>
      </c>
      <c r="D47" s="7">
        <v>3000000</v>
      </c>
      <c r="E47" s="1">
        <v>0</v>
      </c>
      <c r="F47">
        <v>0</v>
      </c>
      <c r="G47" s="1">
        <v>0</v>
      </c>
      <c r="H47" s="4">
        <f aca="true" t="shared" si="10" ref="H47:H52">C47+E47+F47+G47</f>
        <v>3000000</v>
      </c>
      <c r="I47" s="6">
        <f aca="true" t="shared" si="11" ref="I47:I52">H47/$H$54</f>
        <v>0.1016949152542373</v>
      </c>
    </row>
    <row r="48" spans="1:9" ht="12.75">
      <c r="A48" s="14" t="s">
        <v>11</v>
      </c>
      <c r="B48" t="s">
        <v>19</v>
      </c>
      <c r="C48" s="1">
        <f>D48/1</f>
        <v>3000000</v>
      </c>
      <c r="D48" s="7">
        <v>3000000</v>
      </c>
      <c r="E48" s="1">
        <v>0</v>
      </c>
      <c r="F48">
        <v>0</v>
      </c>
      <c r="G48" s="1">
        <v>0</v>
      </c>
      <c r="H48" s="4">
        <f t="shared" si="10"/>
        <v>3000000</v>
      </c>
      <c r="I48" s="6">
        <f t="shared" si="11"/>
        <v>0.1016949152542373</v>
      </c>
    </row>
    <row r="49" spans="1:9" ht="12.75">
      <c r="A49" s="14" t="s">
        <v>11</v>
      </c>
      <c r="B49" t="s">
        <v>19</v>
      </c>
      <c r="C49" s="1">
        <f>D49/1</f>
        <v>2000000</v>
      </c>
      <c r="D49" s="7">
        <v>2000000</v>
      </c>
      <c r="E49" s="1">
        <v>0</v>
      </c>
      <c r="F49">
        <v>0</v>
      </c>
      <c r="G49" s="1">
        <v>0</v>
      </c>
      <c r="H49" s="4">
        <f t="shared" si="10"/>
        <v>2000000</v>
      </c>
      <c r="I49" s="6">
        <f t="shared" si="11"/>
        <v>0.06779661016949153</v>
      </c>
    </row>
    <row r="50" spans="1:9" ht="12.75">
      <c r="A50" s="14" t="s">
        <v>11</v>
      </c>
      <c r="B50" t="s">
        <v>19</v>
      </c>
      <c r="C50" s="1">
        <f>D50/1</f>
        <v>1000000</v>
      </c>
      <c r="D50" s="7">
        <v>1000000</v>
      </c>
      <c r="E50" s="1">
        <v>0</v>
      </c>
      <c r="F50">
        <v>0</v>
      </c>
      <c r="G50" s="1">
        <v>0</v>
      </c>
      <c r="H50" s="4">
        <f t="shared" si="10"/>
        <v>1000000</v>
      </c>
      <c r="I50" s="6">
        <f t="shared" si="11"/>
        <v>0.03389830508474576</v>
      </c>
    </row>
    <row r="51" spans="1:9" ht="12.75">
      <c r="A51" s="14" t="s">
        <v>11</v>
      </c>
      <c r="B51" t="s">
        <v>19</v>
      </c>
      <c r="C51" s="1">
        <f>D51/1</f>
        <v>1000000</v>
      </c>
      <c r="D51" s="7">
        <v>1000000</v>
      </c>
      <c r="E51" s="1">
        <v>0</v>
      </c>
      <c r="F51">
        <v>0</v>
      </c>
      <c r="G51" s="1">
        <v>0</v>
      </c>
      <c r="H51" s="4">
        <f t="shared" si="10"/>
        <v>1000000</v>
      </c>
      <c r="I51" s="6">
        <f t="shared" si="11"/>
        <v>0.03389830508474576</v>
      </c>
    </row>
    <row r="52" spans="1:9" ht="12.75">
      <c r="A52" s="3" t="s">
        <v>30</v>
      </c>
      <c r="B52" t="s">
        <v>31</v>
      </c>
      <c r="C52" s="1">
        <v>0</v>
      </c>
      <c r="D52" s="7">
        <v>0</v>
      </c>
      <c r="E52">
        <v>0</v>
      </c>
      <c r="F52" s="1">
        <v>1300000</v>
      </c>
      <c r="G52" s="1">
        <v>0</v>
      </c>
      <c r="H52" s="4">
        <f t="shared" si="10"/>
        <v>1300000</v>
      </c>
      <c r="I52" s="6">
        <f t="shared" si="11"/>
        <v>0.04406779661016949</v>
      </c>
    </row>
    <row r="53" spans="1:8" ht="12.75">
      <c r="A53" s="3"/>
      <c r="C53" s="1"/>
      <c r="D53" s="7"/>
      <c r="F53" s="1"/>
      <c r="G53" s="1"/>
      <c r="H53" s="4"/>
    </row>
    <row r="54" spans="1:9" ht="12.75">
      <c r="A54" s="8" t="s">
        <v>13</v>
      </c>
      <c r="C54" s="9">
        <f>SUM(C45:C52)</f>
        <v>21000000</v>
      </c>
      <c r="D54" s="25">
        <f aca="true" t="shared" si="12" ref="D54:I54">SUM(D45:D53)</f>
        <v>13545000</v>
      </c>
      <c r="E54" s="9">
        <f t="shared" si="12"/>
        <v>2500000</v>
      </c>
      <c r="F54" s="9">
        <f t="shared" si="12"/>
        <v>5000000</v>
      </c>
      <c r="G54" s="9">
        <f t="shared" si="12"/>
        <v>1000000</v>
      </c>
      <c r="H54" s="9">
        <f t="shared" si="12"/>
        <v>29500000</v>
      </c>
      <c r="I54" s="10">
        <f t="shared" si="12"/>
        <v>0.9999508474576271</v>
      </c>
    </row>
  </sheetData>
  <sheetProtection/>
  <mergeCells count="4">
    <mergeCell ref="A2:I2"/>
    <mergeCell ref="A14:I14"/>
    <mergeCell ref="A31:I31"/>
    <mergeCell ref="A44:I44"/>
  </mergeCells>
  <printOptions/>
  <pageMargins left="0.75" right="0.75" top="1" bottom="1" header="0.5" footer="0.5"/>
  <pageSetup orientation="portrait" scale="67"/>
  <customProperties>
    <customPr name="DVSECTIONID" r:id="rId1"/>
  </customProperties>
</worksheet>
</file>

<file path=xl/worksheets/sheet3.xml><?xml version="1.0" encoding="utf-8"?>
<worksheet xmlns="http://schemas.openxmlformats.org/spreadsheetml/2006/main" xmlns:r="http://schemas.openxmlformats.org/officeDocument/2006/relationships">
  <dimension ref="A1:IV7"/>
  <sheetViews>
    <sheetView workbookViewId="0" topLeftCell="A1">
      <selection activeCell="AE6" sqref="AE6"/>
    </sheetView>
  </sheetViews>
  <sheetFormatPr defaultColWidth="8.8515625" defaultRowHeight="12.75"/>
  <sheetData>
    <row r="1" spans="1:256" ht="12.75">
      <c r="A1">
        <f>IF('Cap Table (USD)'!1:1,"AAAAAB2z9wA=",0)</f>
        <v>0</v>
      </c>
      <c r="B1" t="e">
        <f>AND('Cap Table (USD)'!A1,"AAAAAB2z9wE=")</f>
        <v>#VALUE!</v>
      </c>
      <c r="C1" t="e">
        <f>AND('Cap Table (USD)'!B1,"AAAAAB2z9wI=")</f>
        <v>#VALUE!</v>
      </c>
      <c r="D1" t="e">
        <f>AND('Cap Table (USD)'!C1,"AAAAAB2z9wM=")</f>
        <v>#VALUE!</v>
      </c>
      <c r="E1" t="e">
        <f>AND('Cap Table (USD)'!D1,"AAAAAB2z9wQ=")</f>
        <v>#VALUE!</v>
      </c>
      <c r="F1" t="e">
        <f>AND('Cap Table (USD)'!E1,"AAAAAB2z9wU=")</f>
        <v>#VALUE!</v>
      </c>
      <c r="G1" t="e">
        <f>AND('Cap Table (USD)'!F1,"AAAAAB2z9wY=")</f>
        <v>#VALUE!</v>
      </c>
      <c r="H1" t="e">
        <f>AND('Cap Table (USD)'!G1,"AAAAAB2z9wc=")</f>
        <v>#VALUE!</v>
      </c>
      <c r="I1" t="e">
        <f>AND('Cap Table (USD)'!H1,"AAAAAB2z9wg=")</f>
        <v>#VALUE!</v>
      </c>
      <c r="J1" t="e">
        <f>AND('Cap Table (USD)'!I1,"AAAAAB2z9wk=")</f>
        <v>#VALUE!</v>
      </c>
      <c r="K1" t="e">
        <f>AND('Cap Table (USD)'!J1,"AAAAAB2z9wo=")</f>
        <v>#VALUE!</v>
      </c>
      <c r="L1">
        <f>IF('Cap Table (USD)'!2:2,"AAAAAB2z9ws=",0)</f>
        <v>0</v>
      </c>
      <c r="M1" t="e">
        <f>AND('Cap Table (USD)'!A2,"AAAAAB2z9ww=")</f>
        <v>#VALUE!</v>
      </c>
      <c r="N1" t="e">
        <f>AND('Cap Table (USD)'!B2,"AAAAAB2z9w0=")</f>
        <v>#VALUE!</v>
      </c>
      <c r="O1" t="e">
        <f>AND('Cap Table (USD)'!C2,"AAAAAB2z9w4=")</f>
        <v>#VALUE!</v>
      </c>
      <c r="P1" t="e">
        <f>AND('Cap Table (USD)'!D2,"AAAAAB2z9w8=")</f>
        <v>#VALUE!</v>
      </c>
      <c r="Q1" t="e">
        <f>AND('Cap Table (USD)'!E2,"AAAAAB2z9xA=")</f>
        <v>#VALUE!</v>
      </c>
      <c r="R1" t="e">
        <f>AND('Cap Table (USD)'!F2,"AAAAAB2z9xE=")</f>
        <v>#VALUE!</v>
      </c>
      <c r="S1" t="e">
        <f>AND('Cap Table (USD)'!G2,"AAAAAB2z9xI=")</f>
        <v>#VALUE!</v>
      </c>
      <c r="T1" t="e">
        <f>AND('Cap Table (USD)'!H2,"AAAAAB2z9xM=")</f>
        <v>#VALUE!</v>
      </c>
      <c r="U1" t="e">
        <f>AND('Cap Table (USD)'!I2,"AAAAAB2z9xQ=")</f>
        <v>#VALUE!</v>
      </c>
      <c r="V1" t="e">
        <f>AND('Cap Table (USD)'!J2,"AAAAAB2z9xU=")</f>
        <v>#VALUE!</v>
      </c>
      <c r="W1">
        <f>IF('Cap Table (USD)'!3:3,"AAAAAB2z9xY=",0)</f>
        <v>0</v>
      </c>
      <c r="X1" t="e">
        <f>AND('Cap Table (USD)'!A3,"AAAAAB2z9xc=")</f>
        <v>#VALUE!</v>
      </c>
      <c r="Y1" t="e">
        <f>AND('Cap Table (USD)'!B3,"AAAAAB2z9xg=")</f>
        <v>#VALUE!</v>
      </c>
      <c r="Z1" t="e">
        <f>AND('Cap Table (USD)'!C3,"AAAAAB2z9xk=")</f>
        <v>#VALUE!</v>
      </c>
      <c r="AA1" t="e">
        <f>AND('Cap Table (USD)'!D3,"AAAAAB2z9xo=")</f>
        <v>#VALUE!</v>
      </c>
      <c r="AB1" t="e">
        <f>AND('Cap Table (USD)'!E3,"AAAAAB2z9xs=")</f>
        <v>#VALUE!</v>
      </c>
      <c r="AC1" t="e">
        <f>AND('Cap Table (USD)'!F3,"AAAAAB2z9xw=")</f>
        <v>#VALUE!</v>
      </c>
      <c r="AD1" t="e">
        <f>AND('Cap Table (USD)'!G3,"AAAAAB2z9x0=")</f>
        <v>#VALUE!</v>
      </c>
      <c r="AE1" t="e">
        <f>AND('Cap Table (USD)'!H3,"AAAAAB2z9x4=")</f>
        <v>#VALUE!</v>
      </c>
      <c r="AF1" t="e">
        <f>AND('Cap Table (USD)'!I3,"AAAAAB2z9x8=")</f>
        <v>#VALUE!</v>
      </c>
      <c r="AG1" t="e">
        <f>AND('Cap Table (USD)'!J3,"AAAAAB2z9yA=")</f>
        <v>#VALUE!</v>
      </c>
      <c r="AH1">
        <f>IF('Cap Table (USD)'!4:4,"AAAAAB2z9yE=",0)</f>
        <v>0</v>
      </c>
      <c r="AI1" t="e">
        <f>AND('Cap Table (USD)'!A4,"AAAAAB2z9yI=")</f>
        <v>#VALUE!</v>
      </c>
      <c r="AJ1" t="e">
        <f>AND('Cap Table (USD)'!B4,"AAAAAB2z9yM=")</f>
        <v>#VALUE!</v>
      </c>
      <c r="AK1" t="e">
        <f>AND('Cap Table (USD)'!C4,"AAAAAB2z9yQ=")</f>
        <v>#VALUE!</v>
      </c>
      <c r="AL1" t="e">
        <f>AND('Cap Table (USD)'!D4,"AAAAAB2z9yU=")</f>
        <v>#VALUE!</v>
      </c>
      <c r="AM1" t="e">
        <f>AND('Cap Table (USD)'!E4,"AAAAAB2z9yY=")</f>
        <v>#VALUE!</v>
      </c>
      <c r="AN1" t="e">
        <f>AND('Cap Table (USD)'!F4,"AAAAAB2z9yc=")</f>
        <v>#VALUE!</v>
      </c>
      <c r="AO1" t="e">
        <f>AND('Cap Table (USD)'!G4,"AAAAAB2z9yg=")</f>
        <v>#VALUE!</v>
      </c>
      <c r="AP1" t="e">
        <f>AND('Cap Table (USD)'!H4,"AAAAAB2z9yk=")</f>
        <v>#VALUE!</v>
      </c>
      <c r="AQ1" t="e">
        <f>AND('Cap Table (USD)'!I4,"AAAAAB2z9yo=")</f>
        <v>#VALUE!</v>
      </c>
      <c r="AR1" t="e">
        <f>AND('Cap Table (USD)'!J4,"AAAAAB2z9ys=")</f>
        <v>#VALUE!</v>
      </c>
      <c r="AS1">
        <f>IF('Cap Table (USD)'!5:5,"AAAAAB2z9yw=",0)</f>
        <v>0</v>
      </c>
      <c r="AT1" t="e">
        <f>AND('Cap Table (USD)'!A5,"AAAAAB2z9y0=")</f>
        <v>#VALUE!</v>
      </c>
      <c r="AU1" t="e">
        <f>AND('Cap Table (USD)'!B5,"AAAAAB2z9y4=")</f>
        <v>#VALUE!</v>
      </c>
      <c r="AV1" t="e">
        <f>AND('Cap Table (USD)'!C5,"AAAAAB2z9y8=")</f>
        <v>#VALUE!</v>
      </c>
      <c r="AW1" t="e">
        <f>AND('Cap Table (USD)'!D5,"AAAAAB2z9zA=")</f>
        <v>#VALUE!</v>
      </c>
      <c r="AX1" t="e">
        <f>AND('Cap Table (USD)'!E5,"AAAAAB2z9zE=")</f>
        <v>#VALUE!</v>
      </c>
      <c r="AY1" t="e">
        <f>AND('Cap Table (USD)'!F5,"AAAAAB2z9zI=")</f>
        <v>#VALUE!</v>
      </c>
      <c r="AZ1" t="e">
        <f>AND('Cap Table (USD)'!G5,"AAAAAB2z9zM=")</f>
        <v>#VALUE!</v>
      </c>
      <c r="BA1" t="e">
        <f>AND('Cap Table (USD)'!H5,"AAAAAB2z9zQ=")</f>
        <v>#VALUE!</v>
      </c>
      <c r="BB1" t="e">
        <f>AND('Cap Table (USD)'!I5,"AAAAAB2z9zU=")</f>
        <v>#VALUE!</v>
      </c>
      <c r="BC1" t="e">
        <f>AND('Cap Table (USD)'!J5,"AAAAAB2z9zY=")</f>
        <v>#VALUE!</v>
      </c>
      <c r="BD1">
        <f>IF('Cap Table (USD)'!6:6,"AAAAAB2z9zc=",0)</f>
        <v>0</v>
      </c>
      <c r="BE1" t="e">
        <f>AND('Cap Table (USD)'!A6,"AAAAAB2z9zg=")</f>
        <v>#VALUE!</v>
      </c>
      <c r="BF1" t="e">
        <f>AND('Cap Table (USD)'!B6,"AAAAAB2z9zk=")</f>
        <v>#VALUE!</v>
      </c>
      <c r="BG1" t="e">
        <f>AND('Cap Table (USD)'!C6,"AAAAAB2z9zo=")</f>
        <v>#VALUE!</v>
      </c>
      <c r="BH1" t="e">
        <f>AND('Cap Table (USD)'!D6,"AAAAAB2z9zs=")</f>
        <v>#VALUE!</v>
      </c>
      <c r="BI1" t="e">
        <f>AND('Cap Table (USD)'!E6,"AAAAAB2z9zw=")</f>
        <v>#VALUE!</v>
      </c>
      <c r="BJ1" t="e">
        <f>AND('Cap Table (USD)'!F6,"AAAAAB2z9z0=")</f>
        <v>#VALUE!</v>
      </c>
      <c r="BK1" t="e">
        <f>AND('Cap Table (USD)'!G6,"AAAAAB2z9z4=")</f>
        <v>#VALUE!</v>
      </c>
      <c r="BL1" t="e">
        <f>AND('Cap Table (USD)'!H6,"AAAAAB2z9z8=")</f>
        <v>#VALUE!</v>
      </c>
      <c r="BM1" t="e">
        <f>AND('Cap Table (USD)'!I6,"AAAAAB2z90A=")</f>
        <v>#VALUE!</v>
      </c>
      <c r="BN1" t="e">
        <f>AND('Cap Table (USD)'!J6,"AAAAAB2z90E=")</f>
        <v>#VALUE!</v>
      </c>
      <c r="BO1">
        <f>IF('Cap Table (USD)'!7:7,"AAAAAB2z90I=",0)</f>
        <v>0</v>
      </c>
      <c r="BP1" t="e">
        <f>AND('Cap Table (USD)'!A7,"AAAAAB2z90M=")</f>
        <v>#VALUE!</v>
      </c>
      <c r="BQ1" t="e">
        <f>AND('Cap Table (USD)'!B7,"AAAAAB2z90Q=")</f>
        <v>#VALUE!</v>
      </c>
      <c r="BR1" t="e">
        <f>AND('Cap Table (USD)'!C7,"AAAAAB2z90U=")</f>
        <v>#VALUE!</v>
      </c>
      <c r="BS1" t="e">
        <f>AND('Cap Table (USD)'!D7,"AAAAAB2z90Y=")</f>
        <v>#VALUE!</v>
      </c>
      <c r="BT1" t="e">
        <f>AND('Cap Table (USD)'!E7,"AAAAAB2z90c=")</f>
        <v>#VALUE!</v>
      </c>
      <c r="BU1" t="e">
        <f>AND('Cap Table (USD)'!F7,"AAAAAB2z90g=")</f>
        <v>#VALUE!</v>
      </c>
      <c r="BV1" t="e">
        <f>AND('Cap Table (USD)'!G7,"AAAAAB2z90k=")</f>
        <v>#VALUE!</v>
      </c>
      <c r="BW1" t="e">
        <f>AND('Cap Table (USD)'!H7,"AAAAAB2z90o=")</f>
        <v>#VALUE!</v>
      </c>
      <c r="BX1" t="e">
        <f>AND('Cap Table (USD)'!I7,"AAAAAB2z90s=")</f>
        <v>#VALUE!</v>
      </c>
      <c r="BY1" t="e">
        <f>AND('Cap Table (USD)'!J7,"AAAAAB2z90w=")</f>
        <v>#VALUE!</v>
      </c>
      <c r="BZ1">
        <f>IF('Cap Table (USD)'!8:8,"AAAAAB2z900=",0)</f>
        <v>0</v>
      </c>
      <c r="CA1" t="e">
        <f>AND('Cap Table (USD)'!A8,"AAAAAB2z904=")</f>
        <v>#VALUE!</v>
      </c>
      <c r="CB1" t="e">
        <f>AND('Cap Table (USD)'!B8,"AAAAAB2z908=")</f>
        <v>#VALUE!</v>
      </c>
      <c r="CC1" t="e">
        <f>AND('Cap Table (USD)'!C8,"AAAAAB2z91A=")</f>
        <v>#VALUE!</v>
      </c>
      <c r="CD1" t="e">
        <f>AND('Cap Table (USD)'!D8,"AAAAAB2z91E=")</f>
        <v>#VALUE!</v>
      </c>
      <c r="CE1" t="e">
        <f>AND('Cap Table (USD)'!E8,"AAAAAB2z91I=")</f>
        <v>#VALUE!</v>
      </c>
      <c r="CF1" t="e">
        <f>AND('Cap Table (USD)'!F8,"AAAAAB2z91M=")</f>
        <v>#VALUE!</v>
      </c>
      <c r="CG1" t="e">
        <f>AND('Cap Table (USD)'!G8,"AAAAAB2z91Q=")</f>
        <v>#VALUE!</v>
      </c>
      <c r="CH1" t="e">
        <f>AND('Cap Table (USD)'!H8,"AAAAAB2z91U=")</f>
        <v>#VALUE!</v>
      </c>
      <c r="CI1" t="e">
        <f>AND('Cap Table (USD)'!I8,"AAAAAB2z91Y=")</f>
        <v>#VALUE!</v>
      </c>
      <c r="CJ1" t="e">
        <f>AND('Cap Table (USD)'!J8,"AAAAAB2z91c=")</f>
        <v>#VALUE!</v>
      </c>
      <c r="CK1">
        <f>IF('Cap Table (USD)'!9:9,"AAAAAB2z91g=",0)</f>
        <v>0</v>
      </c>
      <c r="CL1" t="e">
        <f>AND('Cap Table (USD)'!A9,"AAAAAB2z91k=")</f>
        <v>#VALUE!</v>
      </c>
      <c r="CM1" t="e">
        <f>AND('Cap Table (USD)'!B9,"AAAAAB2z91o=")</f>
        <v>#VALUE!</v>
      </c>
      <c r="CN1" t="e">
        <f>AND('Cap Table (USD)'!C9,"AAAAAB2z91s=")</f>
        <v>#VALUE!</v>
      </c>
      <c r="CO1" t="e">
        <f>AND('Cap Table (USD)'!D9,"AAAAAB2z91w=")</f>
        <v>#VALUE!</v>
      </c>
      <c r="CP1" t="e">
        <f>AND('Cap Table (USD)'!E9,"AAAAAB2z910=")</f>
        <v>#VALUE!</v>
      </c>
      <c r="CQ1" t="e">
        <f>AND('Cap Table (USD)'!F9,"AAAAAB2z914=")</f>
        <v>#VALUE!</v>
      </c>
      <c r="CR1" t="e">
        <f>AND('Cap Table (USD)'!G9,"AAAAAB2z918=")</f>
        <v>#VALUE!</v>
      </c>
      <c r="CS1" t="e">
        <f>AND('Cap Table (USD)'!H9,"AAAAAB2z92A=")</f>
        <v>#VALUE!</v>
      </c>
      <c r="CT1" t="e">
        <f>AND('Cap Table (USD)'!I9,"AAAAAB2z92E=")</f>
        <v>#VALUE!</v>
      </c>
      <c r="CU1" t="e">
        <f>AND('Cap Table (USD)'!J9,"AAAAAB2z92I=")</f>
        <v>#VALUE!</v>
      </c>
      <c r="CV1">
        <f>IF('Cap Table (USD)'!10:10,"AAAAAB2z92M=",0)</f>
        <v>0</v>
      </c>
      <c r="CW1" t="e">
        <f>AND('Cap Table (USD)'!A10,"AAAAAB2z92Q=")</f>
        <v>#VALUE!</v>
      </c>
      <c r="CX1" t="e">
        <f>AND('Cap Table (USD)'!B10,"AAAAAB2z92U=")</f>
        <v>#VALUE!</v>
      </c>
      <c r="CY1" t="e">
        <f>AND('Cap Table (USD)'!C10,"AAAAAB2z92Y=")</f>
        <v>#VALUE!</v>
      </c>
      <c r="CZ1" t="e">
        <f>AND('Cap Table (USD)'!D10,"AAAAAB2z92c=")</f>
        <v>#VALUE!</v>
      </c>
      <c r="DA1" t="e">
        <f>AND('Cap Table (USD)'!E10,"AAAAAB2z92g=")</f>
        <v>#VALUE!</v>
      </c>
      <c r="DB1" t="e">
        <f>AND('Cap Table (USD)'!F10,"AAAAAB2z92k=")</f>
        <v>#VALUE!</v>
      </c>
      <c r="DC1" t="e">
        <f>AND('Cap Table (USD)'!G10,"AAAAAB2z92o=")</f>
        <v>#VALUE!</v>
      </c>
      <c r="DD1" t="e">
        <f>AND('Cap Table (USD)'!H10,"AAAAAB2z92s=")</f>
        <v>#VALUE!</v>
      </c>
      <c r="DE1" t="e">
        <f>AND('Cap Table (USD)'!I10,"AAAAAB2z92w=")</f>
        <v>#VALUE!</v>
      </c>
      <c r="DF1" t="e">
        <f>AND('Cap Table (USD)'!J10,"AAAAAB2z920=")</f>
        <v>#VALUE!</v>
      </c>
      <c r="DG1">
        <f>IF('Cap Table (USD)'!11:11,"AAAAAB2z924=",0)</f>
        <v>0</v>
      </c>
      <c r="DH1" t="e">
        <f>AND('Cap Table (USD)'!A11,"AAAAAB2z928=")</f>
        <v>#VALUE!</v>
      </c>
      <c r="DI1" t="e">
        <f>AND('Cap Table (USD)'!B11,"AAAAAB2z93A=")</f>
        <v>#VALUE!</v>
      </c>
      <c r="DJ1" t="e">
        <f>AND('Cap Table (USD)'!C11,"AAAAAB2z93E=")</f>
        <v>#VALUE!</v>
      </c>
      <c r="DK1" t="e">
        <f>AND('Cap Table (USD)'!D11,"AAAAAB2z93I=")</f>
        <v>#VALUE!</v>
      </c>
      <c r="DL1" t="e">
        <f>AND('Cap Table (USD)'!E11,"AAAAAB2z93M=")</f>
        <v>#VALUE!</v>
      </c>
      <c r="DM1" t="e">
        <f>AND('Cap Table (USD)'!F11,"AAAAAB2z93Q=")</f>
        <v>#VALUE!</v>
      </c>
      <c r="DN1" t="e">
        <f>AND('Cap Table (USD)'!G11,"AAAAAB2z93U=")</f>
        <v>#VALUE!</v>
      </c>
      <c r="DO1" t="e">
        <f>AND('Cap Table (USD)'!H11,"AAAAAB2z93Y=")</f>
        <v>#VALUE!</v>
      </c>
      <c r="DP1" t="e">
        <f>AND('Cap Table (USD)'!I11,"AAAAAB2z93c=")</f>
        <v>#VALUE!</v>
      </c>
      <c r="DQ1" t="e">
        <f>AND('Cap Table (USD)'!J11,"AAAAAB2z93g=")</f>
        <v>#VALUE!</v>
      </c>
      <c r="DR1">
        <f>IF('Cap Table (USD)'!12:12,"AAAAAB2z93k=",0)</f>
        <v>0</v>
      </c>
      <c r="DS1" t="e">
        <f>AND('Cap Table (USD)'!A12,"AAAAAB2z93o=")</f>
        <v>#VALUE!</v>
      </c>
      <c r="DT1" t="e">
        <f>AND('Cap Table (USD)'!B12,"AAAAAB2z93s=")</f>
        <v>#VALUE!</v>
      </c>
      <c r="DU1" t="e">
        <f>AND('Cap Table (USD)'!C12,"AAAAAB2z93w=")</f>
        <v>#VALUE!</v>
      </c>
      <c r="DV1" t="e">
        <f>AND('Cap Table (USD)'!D12,"AAAAAB2z930=")</f>
        <v>#VALUE!</v>
      </c>
      <c r="DW1" t="e">
        <f>AND('Cap Table (USD)'!E12,"AAAAAB2z934=")</f>
        <v>#VALUE!</v>
      </c>
      <c r="DX1" t="e">
        <f>AND('Cap Table (USD)'!F12,"AAAAAB2z938=")</f>
        <v>#VALUE!</v>
      </c>
      <c r="DY1" t="e">
        <f>AND('Cap Table (USD)'!G12,"AAAAAB2z94A=")</f>
        <v>#VALUE!</v>
      </c>
      <c r="DZ1" t="e">
        <f>AND('Cap Table (USD)'!H12,"AAAAAB2z94E=")</f>
        <v>#VALUE!</v>
      </c>
      <c r="EA1" t="e">
        <f>AND('Cap Table (USD)'!I12,"AAAAAB2z94I=")</f>
        <v>#VALUE!</v>
      </c>
      <c r="EB1" t="e">
        <f>AND('Cap Table (USD)'!J12,"AAAAAB2z94M=")</f>
        <v>#VALUE!</v>
      </c>
      <c r="EC1">
        <f>IF('Cap Table (USD)'!13:13,"AAAAAB2z94Q=",0)</f>
        <v>0</v>
      </c>
      <c r="ED1" t="e">
        <f>AND('Cap Table (USD)'!A13,"AAAAAB2z94U=")</f>
        <v>#VALUE!</v>
      </c>
      <c r="EE1" t="e">
        <f>AND('Cap Table (USD)'!B13,"AAAAAB2z94Y=")</f>
        <v>#VALUE!</v>
      </c>
      <c r="EF1" t="e">
        <f>AND('Cap Table (USD)'!C13,"AAAAAB2z94c=")</f>
        <v>#VALUE!</v>
      </c>
      <c r="EG1" t="e">
        <f>AND('Cap Table (USD)'!D13,"AAAAAB2z94g=")</f>
        <v>#VALUE!</v>
      </c>
      <c r="EH1" t="e">
        <f>AND('Cap Table (USD)'!E13,"AAAAAB2z94k=")</f>
        <v>#VALUE!</v>
      </c>
      <c r="EI1" t="e">
        <f>AND('Cap Table (USD)'!F13,"AAAAAB2z94o=")</f>
        <v>#VALUE!</v>
      </c>
      <c r="EJ1" t="e">
        <f>AND('Cap Table (USD)'!G13,"AAAAAB2z94s=")</f>
        <v>#VALUE!</v>
      </c>
      <c r="EK1" t="e">
        <f>AND('Cap Table (USD)'!H13,"AAAAAB2z94w=")</f>
        <v>#VALUE!</v>
      </c>
      <c r="EL1" t="e">
        <f>AND('Cap Table (USD)'!I13,"AAAAAB2z940=")</f>
        <v>#VALUE!</v>
      </c>
      <c r="EM1" t="e">
        <f>AND('Cap Table (USD)'!J13,"AAAAAB2z944=")</f>
        <v>#VALUE!</v>
      </c>
      <c r="EN1">
        <f>IF('Cap Table (USD)'!14:14,"AAAAAB2z948=",0)</f>
        <v>0</v>
      </c>
      <c r="EO1" t="e">
        <f>AND('Cap Table (USD)'!A14,"AAAAAB2z95A=")</f>
        <v>#VALUE!</v>
      </c>
      <c r="EP1" t="e">
        <f>AND('Cap Table (USD)'!B14,"AAAAAB2z95E=")</f>
        <v>#VALUE!</v>
      </c>
      <c r="EQ1" t="e">
        <f>AND('Cap Table (USD)'!C14,"AAAAAB2z95I=")</f>
        <v>#VALUE!</v>
      </c>
      <c r="ER1" t="e">
        <f>AND('Cap Table (USD)'!D14,"AAAAAB2z95M=")</f>
        <v>#VALUE!</v>
      </c>
      <c r="ES1" t="e">
        <f>AND('Cap Table (USD)'!E14,"AAAAAB2z95Q=")</f>
        <v>#VALUE!</v>
      </c>
      <c r="ET1" t="e">
        <f>AND('Cap Table (USD)'!F14,"AAAAAB2z95U=")</f>
        <v>#VALUE!</v>
      </c>
      <c r="EU1" t="e">
        <f>AND('Cap Table (USD)'!G14,"AAAAAB2z95Y=")</f>
        <v>#VALUE!</v>
      </c>
      <c r="EV1" t="e">
        <f>AND('Cap Table (USD)'!H14,"AAAAAB2z95c=")</f>
        <v>#VALUE!</v>
      </c>
      <c r="EW1" t="e">
        <f>AND('Cap Table (USD)'!I14,"AAAAAB2z95g=")</f>
        <v>#VALUE!</v>
      </c>
      <c r="EX1" t="e">
        <f>AND('Cap Table (USD)'!J14,"AAAAAB2z95k=")</f>
        <v>#VALUE!</v>
      </c>
      <c r="EY1">
        <f>IF('Cap Table (USD)'!15:15,"AAAAAB2z95o=",0)</f>
        <v>0</v>
      </c>
      <c r="EZ1" t="e">
        <f>AND('Cap Table (USD)'!A15,"AAAAAB2z95s=")</f>
        <v>#VALUE!</v>
      </c>
      <c r="FA1" t="e">
        <f>AND('Cap Table (USD)'!B15,"AAAAAB2z95w=")</f>
        <v>#VALUE!</v>
      </c>
      <c r="FB1" t="e">
        <f>AND('Cap Table (USD)'!C15,"AAAAAB2z950=")</f>
        <v>#VALUE!</v>
      </c>
      <c r="FC1" t="e">
        <f>AND('Cap Table (USD)'!D15,"AAAAAB2z954=")</f>
        <v>#VALUE!</v>
      </c>
      <c r="FD1" t="e">
        <f>AND('Cap Table (USD)'!E15,"AAAAAB2z958=")</f>
        <v>#VALUE!</v>
      </c>
      <c r="FE1" t="e">
        <f>AND('Cap Table (USD)'!F15,"AAAAAB2z96A=")</f>
        <v>#VALUE!</v>
      </c>
      <c r="FF1" t="e">
        <f>AND('Cap Table (USD)'!G15,"AAAAAB2z96E=")</f>
        <v>#VALUE!</v>
      </c>
      <c r="FG1" t="e">
        <f>AND('Cap Table (USD)'!H15,"AAAAAB2z96I=")</f>
        <v>#VALUE!</v>
      </c>
      <c r="FH1" t="e">
        <f>AND('Cap Table (USD)'!I15,"AAAAAB2z96M=")</f>
        <v>#VALUE!</v>
      </c>
      <c r="FI1" t="e">
        <f>AND('Cap Table (USD)'!J15,"AAAAAB2z96Q=")</f>
        <v>#VALUE!</v>
      </c>
      <c r="FJ1">
        <f>IF('Cap Table (USD)'!17:17,"AAAAAB2z96U=",0)</f>
        <v>0</v>
      </c>
      <c r="FK1" t="e">
        <f>AND('Cap Table (USD)'!A17,"AAAAAB2z96Y=")</f>
        <v>#VALUE!</v>
      </c>
      <c r="FL1" t="e">
        <f>AND('Cap Table (USD)'!B17,"AAAAAB2z96c=")</f>
        <v>#VALUE!</v>
      </c>
      <c r="FM1" t="e">
        <f>AND('Cap Table (USD)'!C17,"AAAAAB2z96g=")</f>
        <v>#VALUE!</v>
      </c>
      <c r="FN1" t="e">
        <f>AND('Cap Table (USD)'!D17,"AAAAAB2z96k=")</f>
        <v>#VALUE!</v>
      </c>
      <c r="FO1" t="e">
        <f>AND('Cap Table (USD)'!E17,"AAAAAB2z96o=")</f>
        <v>#VALUE!</v>
      </c>
      <c r="FP1" t="e">
        <f>AND('Cap Table (USD)'!F17,"AAAAAB2z96s=")</f>
        <v>#VALUE!</v>
      </c>
      <c r="FQ1" t="e">
        <f>AND('Cap Table (USD)'!G17,"AAAAAB2z96w=")</f>
        <v>#VALUE!</v>
      </c>
      <c r="FR1" t="e">
        <f>AND('Cap Table (USD)'!H17,"AAAAAB2z960=")</f>
        <v>#VALUE!</v>
      </c>
      <c r="FS1" t="e">
        <f>AND('Cap Table (USD)'!I17,"AAAAAB2z964=")</f>
        <v>#VALUE!</v>
      </c>
      <c r="FT1" t="e">
        <f>AND('Cap Table (USD)'!J17,"AAAAAB2z968=")</f>
        <v>#VALUE!</v>
      </c>
      <c r="FU1">
        <f>IF('Cap Table (USD)'!18:18,"AAAAAB2z97A=",0)</f>
        <v>0</v>
      </c>
      <c r="FV1" t="e">
        <f>AND('Cap Table (USD)'!A18,"AAAAAB2z97E=")</f>
        <v>#VALUE!</v>
      </c>
      <c r="FW1" t="e">
        <f>AND('Cap Table (USD)'!B18,"AAAAAB2z97I=")</f>
        <v>#VALUE!</v>
      </c>
      <c r="FX1" t="e">
        <f>AND('Cap Table (USD)'!C18,"AAAAAB2z97M=")</f>
        <v>#VALUE!</v>
      </c>
      <c r="FY1" t="e">
        <f>AND('Cap Table (USD)'!D18,"AAAAAB2z97Q=")</f>
        <v>#VALUE!</v>
      </c>
      <c r="FZ1" t="e">
        <f>AND('Cap Table (USD)'!E18,"AAAAAB2z97U=")</f>
        <v>#VALUE!</v>
      </c>
      <c r="GA1" t="e">
        <f>AND('Cap Table (USD)'!F18,"AAAAAB2z97Y=")</f>
        <v>#VALUE!</v>
      </c>
      <c r="GB1" t="e">
        <f>AND('Cap Table (USD)'!G18,"AAAAAB2z97c=")</f>
        <v>#VALUE!</v>
      </c>
      <c r="GC1" t="e">
        <f>AND('Cap Table (USD)'!H18,"AAAAAB2z97g=")</f>
        <v>#VALUE!</v>
      </c>
      <c r="GD1" t="e">
        <f>AND('Cap Table (USD)'!I18,"AAAAAB2z97k=")</f>
        <v>#VALUE!</v>
      </c>
      <c r="GE1" t="e">
        <f>AND('Cap Table (USD)'!J18,"AAAAAB2z97o=")</f>
        <v>#VALUE!</v>
      </c>
      <c r="GF1">
        <f>IF('Cap Table (USD)'!19:19,"AAAAAB2z97s=",0)</f>
        <v>0</v>
      </c>
      <c r="GG1" t="e">
        <f>AND('Cap Table (USD)'!A19,"AAAAAB2z97w=")</f>
        <v>#VALUE!</v>
      </c>
      <c r="GH1" t="e">
        <f>AND('Cap Table (USD)'!B19,"AAAAAB2z970=")</f>
        <v>#VALUE!</v>
      </c>
      <c r="GI1" t="e">
        <f>AND('Cap Table (USD)'!C19,"AAAAAB2z974=")</f>
        <v>#VALUE!</v>
      </c>
      <c r="GJ1" t="e">
        <f>AND('Cap Table (USD)'!D19,"AAAAAB2z978=")</f>
        <v>#VALUE!</v>
      </c>
      <c r="GK1" t="e">
        <f>AND('Cap Table (USD)'!E19,"AAAAAB2z98A=")</f>
        <v>#VALUE!</v>
      </c>
      <c r="GL1" t="e">
        <f>AND('Cap Table (USD)'!F19,"AAAAAB2z98E=")</f>
        <v>#VALUE!</v>
      </c>
      <c r="GM1" t="e">
        <f>AND('Cap Table (USD)'!G19,"AAAAAB2z98I=")</f>
        <v>#VALUE!</v>
      </c>
      <c r="GN1" t="e">
        <f>AND('Cap Table (USD)'!H19,"AAAAAB2z98M=")</f>
        <v>#VALUE!</v>
      </c>
      <c r="GO1" t="e">
        <f>AND('Cap Table (USD)'!I19,"AAAAAB2z98Q=")</f>
        <v>#VALUE!</v>
      </c>
      <c r="GP1" t="e">
        <f>AND('Cap Table (USD)'!J19,"AAAAAB2z98U=")</f>
        <v>#VALUE!</v>
      </c>
      <c r="GQ1">
        <f>IF('Cap Table (USD)'!20:20,"AAAAAB2z98Y=",0)</f>
        <v>0</v>
      </c>
      <c r="GR1" t="e">
        <f>AND('Cap Table (USD)'!A20,"AAAAAB2z98c=")</f>
        <v>#VALUE!</v>
      </c>
      <c r="GS1" t="e">
        <f>AND('Cap Table (USD)'!B20,"AAAAAB2z98g=")</f>
        <v>#VALUE!</v>
      </c>
      <c r="GT1" t="e">
        <f>AND('Cap Table (USD)'!C20,"AAAAAB2z98k=")</f>
        <v>#VALUE!</v>
      </c>
      <c r="GU1" t="e">
        <f>AND('Cap Table (USD)'!D20,"AAAAAB2z98o=")</f>
        <v>#VALUE!</v>
      </c>
      <c r="GV1" t="e">
        <f>AND('Cap Table (USD)'!E20,"AAAAAB2z98s=")</f>
        <v>#VALUE!</v>
      </c>
      <c r="GW1" t="e">
        <f>AND('Cap Table (USD)'!F20,"AAAAAB2z98w=")</f>
        <v>#VALUE!</v>
      </c>
      <c r="GX1" t="e">
        <f>AND('Cap Table (USD)'!G20,"AAAAAB2z980=")</f>
        <v>#VALUE!</v>
      </c>
      <c r="GY1" t="e">
        <f>AND('Cap Table (USD)'!H20,"AAAAAB2z984=")</f>
        <v>#VALUE!</v>
      </c>
      <c r="GZ1" t="e">
        <f>AND('Cap Table (USD)'!I20,"AAAAAB2z988=")</f>
        <v>#VALUE!</v>
      </c>
      <c r="HA1" t="e">
        <f>AND('Cap Table (USD)'!J20,"AAAAAB2z99A=")</f>
        <v>#VALUE!</v>
      </c>
      <c r="HB1">
        <f>IF('Cap Table (USD)'!21:21,"AAAAAB2z99E=",0)</f>
        <v>0</v>
      </c>
      <c r="HC1" t="e">
        <f>AND('Cap Table (USD)'!A21,"AAAAAB2z99I=")</f>
        <v>#VALUE!</v>
      </c>
      <c r="HD1" t="e">
        <f>AND('Cap Table (USD)'!B21,"AAAAAB2z99M=")</f>
        <v>#VALUE!</v>
      </c>
      <c r="HE1" t="e">
        <f>AND('Cap Table (USD)'!C21,"AAAAAB2z99Q=")</f>
        <v>#VALUE!</v>
      </c>
      <c r="HF1" t="e">
        <f>AND('Cap Table (USD)'!D21,"AAAAAB2z99U=")</f>
        <v>#VALUE!</v>
      </c>
      <c r="HG1" t="e">
        <f>AND('Cap Table (USD)'!E21,"AAAAAB2z99Y=")</f>
        <v>#VALUE!</v>
      </c>
      <c r="HH1" t="e">
        <f>AND('Cap Table (USD)'!F21,"AAAAAB2z99c=")</f>
        <v>#VALUE!</v>
      </c>
      <c r="HI1" t="e">
        <f>AND('Cap Table (USD)'!G21,"AAAAAB2z99g=")</f>
        <v>#VALUE!</v>
      </c>
      <c r="HJ1" t="e">
        <f>AND('Cap Table (USD)'!H21,"AAAAAB2z99k=")</f>
        <v>#VALUE!</v>
      </c>
      <c r="HK1" t="e">
        <f>AND('Cap Table (USD)'!I21,"AAAAAB2z99o=")</f>
        <v>#VALUE!</v>
      </c>
      <c r="HL1" t="e">
        <f>AND('Cap Table (USD)'!J21,"AAAAAB2z99s=")</f>
        <v>#VALUE!</v>
      </c>
      <c r="HM1">
        <f>IF('Cap Table (USD)'!22:22,"AAAAAB2z99w=",0)</f>
        <v>0</v>
      </c>
      <c r="HN1" t="e">
        <f>AND('Cap Table (USD)'!A22,"AAAAAB2z990=")</f>
        <v>#VALUE!</v>
      </c>
      <c r="HO1" t="e">
        <f>AND('Cap Table (USD)'!B22,"AAAAAB2z994=")</f>
        <v>#VALUE!</v>
      </c>
      <c r="HP1" t="e">
        <f>AND('Cap Table (USD)'!C22,"AAAAAB2z998=")</f>
        <v>#VALUE!</v>
      </c>
      <c r="HQ1" t="e">
        <f>AND('Cap Table (USD)'!D22,"AAAAAB2z9+A=")</f>
        <v>#VALUE!</v>
      </c>
      <c r="HR1" t="e">
        <f>AND('Cap Table (USD)'!E22,"AAAAAB2z9+E=")</f>
        <v>#VALUE!</v>
      </c>
      <c r="HS1" t="e">
        <f>AND('Cap Table (USD)'!F22,"AAAAAB2z9+I=")</f>
        <v>#VALUE!</v>
      </c>
      <c r="HT1" t="e">
        <f>AND('Cap Table (USD)'!G22,"AAAAAB2z9+M=")</f>
        <v>#VALUE!</v>
      </c>
      <c r="HU1" t="e">
        <f>AND('Cap Table (USD)'!H22,"AAAAAB2z9+Q=")</f>
        <v>#VALUE!</v>
      </c>
      <c r="HV1" t="e">
        <f>AND('Cap Table (USD)'!I22,"AAAAAB2z9+U=")</f>
        <v>#VALUE!</v>
      </c>
      <c r="HW1" t="e">
        <f>AND('Cap Table (USD)'!J22,"AAAAAB2z9+Y=")</f>
        <v>#VALUE!</v>
      </c>
      <c r="HX1">
        <f>IF('Cap Table (USD)'!23:23,"AAAAAB2z9+c=",0)</f>
        <v>0</v>
      </c>
      <c r="HY1" t="e">
        <f>AND('Cap Table (USD)'!A23,"AAAAAB2z9+g=")</f>
        <v>#VALUE!</v>
      </c>
      <c r="HZ1" t="e">
        <f>AND('Cap Table (USD)'!B23,"AAAAAB2z9+k=")</f>
        <v>#VALUE!</v>
      </c>
      <c r="IA1" t="e">
        <f>AND('Cap Table (USD)'!C23,"AAAAAB2z9+o=")</f>
        <v>#VALUE!</v>
      </c>
      <c r="IB1" t="e">
        <f>AND('Cap Table (USD)'!D23,"AAAAAB2z9+s=")</f>
        <v>#VALUE!</v>
      </c>
      <c r="IC1" t="e">
        <f>AND('Cap Table (USD)'!E23,"AAAAAB2z9+w=")</f>
        <v>#VALUE!</v>
      </c>
      <c r="ID1" t="e">
        <f>AND('Cap Table (USD)'!F23,"AAAAAB2z9+0=")</f>
        <v>#VALUE!</v>
      </c>
      <c r="IE1" t="e">
        <f>AND('Cap Table (USD)'!G23,"AAAAAB2z9+4=")</f>
        <v>#VALUE!</v>
      </c>
      <c r="IF1" t="e">
        <f>AND('Cap Table (USD)'!H23,"AAAAAB2z9+8=")</f>
        <v>#VALUE!</v>
      </c>
      <c r="IG1" t="e">
        <f>AND('Cap Table (USD)'!I23,"AAAAAB2z9/A=")</f>
        <v>#VALUE!</v>
      </c>
      <c r="IH1" t="e">
        <f>AND('Cap Table (USD)'!J23,"AAAAAB2z9/E=")</f>
        <v>#VALUE!</v>
      </c>
      <c r="II1">
        <f>IF('Cap Table (USD)'!24:24,"AAAAAB2z9/I=",0)</f>
        <v>0</v>
      </c>
      <c r="IJ1" t="e">
        <f>AND('Cap Table (USD)'!A24,"AAAAAB2z9/M=")</f>
        <v>#VALUE!</v>
      </c>
      <c r="IK1" t="e">
        <f>AND('Cap Table (USD)'!B24,"AAAAAB2z9/Q=")</f>
        <v>#VALUE!</v>
      </c>
      <c r="IL1" t="e">
        <f>AND('Cap Table (USD)'!C24,"AAAAAB2z9/U=")</f>
        <v>#VALUE!</v>
      </c>
      <c r="IM1" t="e">
        <f>AND('Cap Table (USD)'!D24,"AAAAAB2z9/Y=")</f>
        <v>#VALUE!</v>
      </c>
      <c r="IN1" t="e">
        <f>AND('Cap Table (USD)'!E24,"AAAAAB2z9/c=")</f>
        <v>#VALUE!</v>
      </c>
      <c r="IO1" t="e">
        <f>AND('Cap Table (USD)'!F24,"AAAAAB2z9/g=")</f>
        <v>#VALUE!</v>
      </c>
      <c r="IP1" t="e">
        <f>AND('Cap Table (USD)'!G24,"AAAAAB2z9/k=")</f>
        <v>#VALUE!</v>
      </c>
      <c r="IQ1" t="e">
        <f>AND('Cap Table (USD)'!H24,"AAAAAB2z9/o=")</f>
        <v>#VALUE!</v>
      </c>
      <c r="IR1" t="e">
        <f>AND('Cap Table (USD)'!I24,"AAAAAB2z9/s=")</f>
        <v>#VALUE!</v>
      </c>
      <c r="IS1" t="e">
        <f>AND('Cap Table (USD)'!J24,"AAAAAB2z9/w=")</f>
        <v>#VALUE!</v>
      </c>
      <c r="IT1">
        <f>IF('Cap Table (USD)'!25:25,"AAAAAB2z9/0=",0)</f>
        <v>0</v>
      </c>
      <c r="IU1" t="e">
        <f>AND('Cap Table (USD)'!A25,"AAAAAB2z9/4=")</f>
        <v>#VALUE!</v>
      </c>
      <c r="IV1" t="e">
        <f>AND('Cap Table (USD)'!B25,"AAAAAB2z9/8=")</f>
        <v>#VALUE!</v>
      </c>
    </row>
    <row r="2" spans="1:256" ht="12.75">
      <c r="A2" t="e">
        <f>AND('Cap Table (USD)'!C25,"AAAAAH31/wA=")</f>
        <v>#VALUE!</v>
      </c>
      <c r="B2" t="e">
        <f>AND('Cap Table (USD)'!D25,"AAAAAH31/wE=")</f>
        <v>#VALUE!</v>
      </c>
      <c r="C2" t="e">
        <f>AND('Cap Table (USD)'!E25,"AAAAAH31/wI=")</f>
        <v>#VALUE!</v>
      </c>
      <c r="D2" t="e">
        <f>AND('Cap Table (USD)'!F25,"AAAAAH31/wM=")</f>
        <v>#VALUE!</v>
      </c>
      <c r="E2" t="e">
        <f>AND('Cap Table (USD)'!G25,"AAAAAH31/wQ=")</f>
        <v>#VALUE!</v>
      </c>
      <c r="F2" t="e">
        <f>AND('Cap Table (USD)'!H25,"AAAAAH31/wU=")</f>
        <v>#VALUE!</v>
      </c>
      <c r="G2" t="e">
        <f>AND('Cap Table (USD)'!I25,"AAAAAH31/wY=")</f>
        <v>#VALUE!</v>
      </c>
      <c r="H2" t="e">
        <f>AND('Cap Table (USD)'!J25,"AAAAAH31/wc=")</f>
        <v>#VALUE!</v>
      </c>
      <c r="I2">
        <f>IF('Cap Table (USD)'!26:26,"AAAAAH31/wg=",0)</f>
        <v>0</v>
      </c>
      <c r="J2" t="e">
        <f>AND('Cap Table (USD)'!A26,"AAAAAH31/wk=")</f>
        <v>#VALUE!</v>
      </c>
      <c r="K2" t="e">
        <f>AND('Cap Table (USD)'!B26,"AAAAAH31/wo=")</f>
        <v>#VALUE!</v>
      </c>
      <c r="L2" t="e">
        <f>AND('Cap Table (USD)'!C26,"AAAAAH31/ws=")</f>
        <v>#VALUE!</v>
      </c>
      <c r="M2" t="e">
        <f>AND('Cap Table (USD)'!D26,"AAAAAH31/ww=")</f>
        <v>#VALUE!</v>
      </c>
      <c r="N2" t="e">
        <f>AND('Cap Table (USD)'!E26,"AAAAAH31/w0=")</f>
        <v>#VALUE!</v>
      </c>
      <c r="O2" t="e">
        <f>AND('Cap Table (USD)'!F26,"AAAAAH31/w4=")</f>
        <v>#VALUE!</v>
      </c>
      <c r="P2" t="e">
        <f>AND('Cap Table (USD)'!G26,"AAAAAH31/w8=")</f>
        <v>#VALUE!</v>
      </c>
      <c r="Q2" t="e">
        <f>AND('Cap Table (USD)'!H26,"AAAAAH31/xA=")</f>
        <v>#VALUE!</v>
      </c>
      <c r="R2" t="e">
        <f>AND('Cap Table (USD)'!I26,"AAAAAH31/xE=")</f>
        <v>#VALUE!</v>
      </c>
      <c r="S2" t="e">
        <f>AND('Cap Table (USD)'!J26,"AAAAAH31/xI=")</f>
        <v>#VALUE!</v>
      </c>
      <c r="T2">
        <f>IF('Cap Table (USD)'!27:27,"AAAAAH31/xM=",0)</f>
        <v>0</v>
      </c>
      <c r="U2" t="e">
        <f>AND('Cap Table (USD)'!A27,"AAAAAH31/xQ=")</f>
        <v>#VALUE!</v>
      </c>
      <c r="V2" t="e">
        <f>AND('Cap Table (USD)'!B27,"AAAAAH31/xU=")</f>
        <v>#VALUE!</v>
      </c>
      <c r="W2" t="e">
        <f>AND('Cap Table (USD)'!C27,"AAAAAH31/xY=")</f>
        <v>#VALUE!</v>
      </c>
      <c r="X2" t="e">
        <f>AND('Cap Table (USD)'!D27,"AAAAAH31/xc=")</f>
        <v>#VALUE!</v>
      </c>
      <c r="Y2" t="e">
        <f>AND('Cap Table (USD)'!E27,"AAAAAH31/xg=")</f>
        <v>#VALUE!</v>
      </c>
      <c r="Z2" t="e">
        <f>AND('Cap Table (USD)'!F27,"AAAAAH31/xk=")</f>
        <v>#VALUE!</v>
      </c>
      <c r="AA2" t="e">
        <f>AND('Cap Table (USD)'!G27,"AAAAAH31/xo=")</f>
        <v>#VALUE!</v>
      </c>
      <c r="AB2" t="e">
        <f>AND('Cap Table (USD)'!H27,"AAAAAH31/xs=")</f>
        <v>#VALUE!</v>
      </c>
      <c r="AC2" t="e">
        <f>AND('Cap Table (USD)'!I27,"AAAAAH31/xw=")</f>
        <v>#VALUE!</v>
      </c>
      <c r="AD2" t="e">
        <f>AND('Cap Table (USD)'!J27,"AAAAAH31/x0=")</f>
        <v>#VALUE!</v>
      </c>
      <c r="AE2">
        <f>IF('Cap Table (USD)'!28:28,"AAAAAH31/x4=",0)</f>
        <v>0</v>
      </c>
      <c r="AF2" t="e">
        <f>AND('Cap Table (USD)'!A28,"AAAAAH31/x8=")</f>
        <v>#VALUE!</v>
      </c>
      <c r="AG2" t="e">
        <f>AND('Cap Table (USD)'!B28,"AAAAAH31/yA=")</f>
        <v>#VALUE!</v>
      </c>
      <c r="AH2" t="e">
        <f>AND('Cap Table (USD)'!C28,"AAAAAH31/yE=")</f>
        <v>#VALUE!</v>
      </c>
      <c r="AI2" t="e">
        <f>AND('Cap Table (USD)'!D28,"AAAAAH31/yI=")</f>
        <v>#VALUE!</v>
      </c>
      <c r="AJ2" t="e">
        <f>AND('Cap Table (USD)'!E28,"AAAAAH31/yM=")</f>
        <v>#VALUE!</v>
      </c>
      <c r="AK2" t="e">
        <f>AND('Cap Table (USD)'!F28,"AAAAAH31/yQ=")</f>
        <v>#VALUE!</v>
      </c>
      <c r="AL2" t="e">
        <f>AND('Cap Table (USD)'!G28,"AAAAAH31/yU=")</f>
        <v>#VALUE!</v>
      </c>
      <c r="AM2" t="e">
        <f>AND('Cap Table (USD)'!H28,"AAAAAH31/yY=")</f>
        <v>#VALUE!</v>
      </c>
      <c r="AN2" t="e">
        <f>AND('Cap Table (USD)'!I28,"AAAAAH31/yc=")</f>
        <v>#VALUE!</v>
      </c>
      <c r="AO2" t="e">
        <f>AND('Cap Table (USD)'!J28,"AAAAAH31/yg=")</f>
        <v>#VALUE!</v>
      </c>
      <c r="AP2">
        <f>IF('Cap Table (USD)'!29:29,"AAAAAH31/yk=",0)</f>
        <v>0</v>
      </c>
      <c r="AQ2" t="e">
        <f>AND('Cap Table (USD)'!A29,"AAAAAH31/yo=")</f>
        <v>#VALUE!</v>
      </c>
      <c r="AR2" t="e">
        <f>AND('Cap Table (USD)'!B29,"AAAAAH31/ys=")</f>
        <v>#VALUE!</v>
      </c>
      <c r="AS2" t="e">
        <f>AND('Cap Table (USD)'!C29,"AAAAAH31/yw=")</f>
        <v>#VALUE!</v>
      </c>
      <c r="AT2" t="e">
        <f>AND('Cap Table (USD)'!D29,"AAAAAH31/y0=")</f>
        <v>#VALUE!</v>
      </c>
      <c r="AU2" t="e">
        <f>AND('Cap Table (USD)'!E29,"AAAAAH31/y4=")</f>
        <v>#VALUE!</v>
      </c>
      <c r="AV2" t="e">
        <f>AND('Cap Table (USD)'!F29,"AAAAAH31/y8=")</f>
        <v>#VALUE!</v>
      </c>
      <c r="AW2" t="e">
        <f>AND('Cap Table (USD)'!G29,"AAAAAH31/zA=")</f>
        <v>#VALUE!</v>
      </c>
      <c r="AX2" t="e">
        <f>AND('Cap Table (USD)'!H29,"AAAAAH31/zE=")</f>
        <v>#VALUE!</v>
      </c>
      <c r="AY2" t="e">
        <f>AND('Cap Table (USD)'!I29,"AAAAAH31/zI=")</f>
        <v>#VALUE!</v>
      </c>
      <c r="AZ2" t="e">
        <f>AND('Cap Table (USD)'!J29,"AAAAAH31/zM=")</f>
        <v>#VALUE!</v>
      </c>
      <c r="BA2">
        <f>IF('Cap Table (USD)'!30:30,"AAAAAH31/zQ=",0)</f>
        <v>0</v>
      </c>
      <c r="BB2" t="e">
        <f>AND('Cap Table (USD)'!A30,"AAAAAH31/zU=")</f>
        <v>#VALUE!</v>
      </c>
      <c r="BC2" t="e">
        <f>AND('Cap Table (USD)'!B30,"AAAAAH31/zY=")</f>
        <v>#VALUE!</v>
      </c>
      <c r="BD2" t="e">
        <f>AND('Cap Table (USD)'!C30,"AAAAAH31/zc=")</f>
        <v>#VALUE!</v>
      </c>
      <c r="BE2" t="e">
        <f>AND('Cap Table (USD)'!D30,"AAAAAH31/zg=")</f>
        <v>#VALUE!</v>
      </c>
      <c r="BF2" t="e">
        <f>AND('Cap Table (USD)'!E30,"AAAAAH31/zk=")</f>
        <v>#VALUE!</v>
      </c>
      <c r="BG2" t="e">
        <f>AND('Cap Table (USD)'!F30,"AAAAAH31/zo=")</f>
        <v>#VALUE!</v>
      </c>
      <c r="BH2" t="e">
        <f>AND('Cap Table (USD)'!G30,"AAAAAH31/zs=")</f>
        <v>#VALUE!</v>
      </c>
      <c r="BI2" t="e">
        <f>AND('Cap Table (USD)'!H30,"AAAAAH31/zw=")</f>
        <v>#VALUE!</v>
      </c>
      <c r="BJ2" t="e">
        <f>AND('Cap Table (USD)'!I30,"AAAAAH31/z0=")</f>
        <v>#VALUE!</v>
      </c>
      <c r="BK2" t="e">
        <f>AND('Cap Table (USD)'!J30,"AAAAAH31/z4=")</f>
        <v>#VALUE!</v>
      </c>
      <c r="BL2">
        <f>IF('Cap Table (USD)'!31:31,"AAAAAH31/z8=",0)</f>
        <v>0</v>
      </c>
      <c r="BM2" t="e">
        <f>AND('Cap Table (USD)'!A31,"AAAAAH31/0A=")</f>
        <v>#VALUE!</v>
      </c>
      <c r="BN2" t="e">
        <f>AND('Cap Table (USD)'!B31,"AAAAAH31/0E=")</f>
        <v>#VALUE!</v>
      </c>
      <c r="BO2" t="e">
        <f>AND('Cap Table (USD)'!C31,"AAAAAH31/0I=")</f>
        <v>#VALUE!</v>
      </c>
      <c r="BP2" t="e">
        <f>AND('Cap Table (USD)'!D31,"AAAAAH31/0M=")</f>
        <v>#VALUE!</v>
      </c>
      <c r="BQ2" t="e">
        <f>AND('Cap Table (USD)'!E31,"AAAAAH31/0Q=")</f>
        <v>#VALUE!</v>
      </c>
      <c r="BR2" t="e">
        <f>AND('Cap Table (USD)'!F31,"AAAAAH31/0U=")</f>
        <v>#VALUE!</v>
      </c>
      <c r="BS2" t="e">
        <f>AND('Cap Table (USD)'!G31,"AAAAAH31/0Y=")</f>
        <v>#VALUE!</v>
      </c>
      <c r="BT2" t="e">
        <f>AND('Cap Table (USD)'!H31,"AAAAAH31/0c=")</f>
        <v>#VALUE!</v>
      </c>
      <c r="BU2" t="e">
        <f>AND('Cap Table (USD)'!I31,"AAAAAH31/0g=")</f>
        <v>#VALUE!</v>
      </c>
      <c r="BV2" t="e">
        <f>AND('Cap Table (USD)'!J31,"AAAAAH31/0k=")</f>
        <v>#VALUE!</v>
      </c>
      <c r="BW2">
        <f>IF('Cap Table (USD)'!32:32,"AAAAAH31/0o=",0)</f>
        <v>0</v>
      </c>
      <c r="BX2" t="e">
        <f>AND('Cap Table (USD)'!A32,"AAAAAH31/0s=")</f>
        <v>#VALUE!</v>
      </c>
      <c r="BY2" t="e">
        <f>AND('Cap Table (USD)'!B32,"AAAAAH31/0w=")</f>
        <v>#VALUE!</v>
      </c>
      <c r="BZ2" t="e">
        <f>AND('Cap Table (USD)'!C32,"AAAAAH31/00=")</f>
        <v>#VALUE!</v>
      </c>
      <c r="CA2" t="e">
        <f>AND('Cap Table (USD)'!D32,"AAAAAH31/04=")</f>
        <v>#VALUE!</v>
      </c>
      <c r="CB2" t="e">
        <f>AND('Cap Table (USD)'!E32,"AAAAAH31/08=")</f>
        <v>#VALUE!</v>
      </c>
      <c r="CC2" t="e">
        <f>AND('Cap Table (USD)'!F32,"AAAAAH31/1A=")</f>
        <v>#VALUE!</v>
      </c>
      <c r="CD2" t="e">
        <f>AND('Cap Table (USD)'!G32,"AAAAAH31/1E=")</f>
        <v>#VALUE!</v>
      </c>
      <c r="CE2" t="e">
        <f>AND('Cap Table (USD)'!H32,"AAAAAH31/1I=")</f>
        <v>#VALUE!</v>
      </c>
      <c r="CF2" t="e">
        <f>AND('Cap Table (USD)'!I32,"AAAAAH31/1M=")</f>
        <v>#VALUE!</v>
      </c>
      <c r="CG2" t="e">
        <f>AND('Cap Table (USD)'!J32,"AAAAAH31/1Q=")</f>
        <v>#VALUE!</v>
      </c>
      <c r="CH2">
        <f>IF('Cap Table (USD)'!33:33,"AAAAAH31/1U=",0)</f>
        <v>0</v>
      </c>
      <c r="CI2" t="e">
        <f>AND('Cap Table (USD)'!A33,"AAAAAH31/1Y=")</f>
        <v>#VALUE!</v>
      </c>
      <c r="CJ2" t="e">
        <f>AND('Cap Table (USD)'!B33,"AAAAAH31/1c=")</f>
        <v>#VALUE!</v>
      </c>
      <c r="CK2" t="e">
        <f>AND('Cap Table (USD)'!C33,"AAAAAH31/1g=")</f>
        <v>#VALUE!</v>
      </c>
      <c r="CL2" t="e">
        <f>AND('Cap Table (USD)'!D33,"AAAAAH31/1k=")</f>
        <v>#VALUE!</v>
      </c>
      <c r="CM2" t="e">
        <f>AND('Cap Table (USD)'!E33,"AAAAAH31/1o=")</f>
        <v>#VALUE!</v>
      </c>
      <c r="CN2" t="e">
        <f>AND('Cap Table (USD)'!F33,"AAAAAH31/1s=")</f>
        <v>#VALUE!</v>
      </c>
      <c r="CO2" t="e">
        <f>AND('Cap Table (USD)'!G33,"AAAAAH31/1w=")</f>
        <v>#VALUE!</v>
      </c>
      <c r="CP2" t="e">
        <f>AND('Cap Table (USD)'!H33,"AAAAAH31/10=")</f>
        <v>#VALUE!</v>
      </c>
      <c r="CQ2" t="e">
        <f>AND('Cap Table (USD)'!I33,"AAAAAH31/14=")</f>
        <v>#VALUE!</v>
      </c>
      <c r="CR2" t="e">
        <f>AND('Cap Table (USD)'!J33,"AAAAAH31/18=")</f>
        <v>#VALUE!</v>
      </c>
      <c r="CS2">
        <f>IF('Cap Table (USD)'!34:34,"AAAAAH31/2A=",0)</f>
        <v>0</v>
      </c>
      <c r="CT2" t="e">
        <f>AND('Cap Table (USD)'!A34,"AAAAAH31/2E=")</f>
        <v>#VALUE!</v>
      </c>
      <c r="CU2" t="e">
        <f>AND('Cap Table (USD)'!B34,"AAAAAH31/2I=")</f>
        <v>#VALUE!</v>
      </c>
      <c r="CV2" t="e">
        <f>AND('Cap Table (USD)'!C34,"AAAAAH31/2M=")</f>
        <v>#VALUE!</v>
      </c>
      <c r="CW2" t="e">
        <f>AND('Cap Table (USD)'!D34,"AAAAAH31/2Q=")</f>
        <v>#VALUE!</v>
      </c>
      <c r="CX2" t="e">
        <f>AND('Cap Table (USD)'!E34,"AAAAAH31/2U=")</f>
        <v>#VALUE!</v>
      </c>
      <c r="CY2" t="e">
        <f>AND('Cap Table (USD)'!F34,"AAAAAH31/2Y=")</f>
        <v>#VALUE!</v>
      </c>
      <c r="CZ2" t="e">
        <f>AND('Cap Table (USD)'!G34,"AAAAAH31/2c=")</f>
        <v>#VALUE!</v>
      </c>
      <c r="DA2" t="e">
        <f>AND('Cap Table (USD)'!H34,"AAAAAH31/2g=")</f>
        <v>#VALUE!</v>
      </c>
      <c r="DB2" t="e">
        <f>AND('Cap Table (USD)'!I34,"AAAAAH31/2k=")</f>
        <v>#VALUE!</v>
      </c>
      <c r="DC2" t="e">
        <f>AND('Cap Table (USD)'!J34,"AAAAAH31/2o=")</f>
        <v>#VALUE!</v>
      </c>
      <c r="DD2">
        <f>IF('Cap Table (USD)'!35:35,"AAAAAH31/2s=",0)</f>
        <v>0</v>
      </c>
      <c r="DE2" t="e">
        <f>AND('Cap Table (USD)'!A35,"AAAAAH31/2w=")</f>
        <v>#VALUE!</v>
      </c>
      <c r="DF2" t="e">
        <f>AND('Cap Table (USD)'!B35,"AAAAAH31/20=")</f>
        <v>#VALUE!</v>
      </c>
      <c r="DG2" t="e">
        <f>AND('Cap Table (USD)'!C35,"AAAAAH31/24=")</f>
        <v>#VALUE!</v>
      </c>
      <c r="DH2" t="e">
        <f>AND('Cap Table (USD)'!D35,"AAAAAH31/28=")</f>
        <v>#VALUE!</v>
      </c>
      <c r="DI2" t="e">
        <f>AND('Cap Table (USD)'!E35,"AAAAAH31/3A=")</f>
        <v>#VALUE!</v>
      </c>
      <c r="DJ2" t="e">
        <f>AND('Cap Table (USD)'!F35,"AAAAAH31/3E=")</f>
        <v>#VALUE!</v>
      </c>
      <c r="DK2" t="e">
        <f>AND('Cap Table (USD)'!G35,"AAAAAH31/3I=")</f>
        <v>#VALUE!</v>
      </c>
      <c r="DL2" t="e">
        <f>AND('Cap Table (USD)'!H35,"AAAAAH31/3M=")</f>
        <v>#VALUE!</v>
      </c>
      <c r="DM2" t="e">
        <f>AND('Cap Table (USD)'!I35,"AAAAAH31/3Q=")</f>
        <v>#VALUE!</v>
      </c>
      <c r="DN2" t="e">
        <f>AND('Cap Table (USD)'!J35,"AAAAAH31/3U=")</f>
        <v>#VALUE!</v>
      </c>
      <c r="DO2">
        <f>IF('Cap Table (USD)'!36:36,"AAAAAH31/3Y=",0)</f>
        <v>0</v>
      </c>
      <c r="DP2" t="e">
        <f>AND('Cap Table (USD)'!A36,"AAAAAH31/3c=")</f>
        <v>#VALUE!</v>
      </c>
      <c r="DQ2" t="e">
        <f>AND('Cap Table (USD)'!B36,"AAAAAH31/3g=")</f>
        <v>#VALUE!</v>
      </c>
      <c r="DR2" t="e">
        <f>AND('Cap Table (USD)'!C36,"AAAAAH31/3k=")</f>
        <v>#VALUE!</v>
      </c>
      <c r="DS2" t="e">
        <f>AND('Cap Table (USD)'!D36,"AAAAAH31/3o=")</f>
        <v>#VALUE!</v>
      </c>
      <c r="DT2" t="e">
        <f>AND('Cap Table (USD)'!E36,"AAAAAH31/3s=")</f>
        <v>#VALUE!</v>
      </c>
      <c r="DU2" t="e">
        <f>AND('Cap Table (USD)'!F36,"AAAAAH31/3w=")</f>
        <v>#VALUE!</v>
      </c>
      <c r="DV2" t="e">
        <f>AND('Cap Table (USD)'!G36,"AAAAAH31/30=")</f>
        <v>#VALUE!</v>
      </c>
      <c r="DW2" t="e">
        <f>AND('Cap Table (USD)'!H36,"AAAAAH31/34=")</f>
        <v>#VALUE!</v>
      </c>
      <c r="DX2" t="e">
        <f>AND('Cap Table (USD)'!I36,"AAAAAH31/38=")</f>
        <v>#VALUE!</v>
      </c>
      <c r="DY2" t="e">
        <f>AND('Cap Table (USD)'!J36,"AAAAAH31/4A=")</f>
        <v>#VALUE!</v>
      </c>
      <c r="DZ2">
        <f>IF('Cap Table (USD)'!37:37,"AAAAAH31/4E=",0)</f>
        <v>0</v>
      </c>
      <c r="EA2" t="e">
        <f>AND('Cap Table (USD)'!A37,"AAAAAH31/4I=")</f>
        <v>#VALUE!</v>
      </c>
      <c r="EB2" t="e">
        <f>AND('Cap Table (USD)'!B37,"AAAAAH31/4M=")</f>
        <v>#VALUE!</v>
      </c>
      <c r="EC2" t="e">
        <f>AND('Cap Table (USD)'!C37,"AAAAAH31/4Q=")</f>
        <v>#VALUE!</v>
      </c>
      <c r="ED2" t="e">
        <f>AND('Cap Table (USD)'!D37,"AAAAAH31/4U=")</f>
        <v>#VALUE!</v>
      </c>
      <c r="EE2" t="e">
        <f>AND('Cap Table (USD)'!E37,"AAAAAH31/4Y=")</f>
        <v>#VALUE!</v>
      </c>
      <c r="EF2" t="e">
        <f>AND('Cap Table (USD)'!F37,"AAAAAH31/4c=")</f>
        <v>#VALUE!</v>
      </c>
      <c r="EG2" t="e">
        <f>AND('Cap Table (USD)'!G37,"AAAAAH31/4g=")</f>
        <v>#VALUE!</v>
      </c>
      <c r="EH2" t="e">
        <f>AND('Cap Table (USD)'!H37,"AAAAAH31/4k=")</f>
        <v>#VALUE!</v>
      </c>
      <c r="EI2" t="e">
        <f>AND('Cap Table (USD)'!I37,"AAAAAH31/4o=")</f>
        <v>#VALUE!</v>
      </c>
      <c r="EJ2" t="e">
        <f>AND('Cap Table (USD)'!J37,"AAAAAH31/4s=")</f>
        <v>#VALUE!</v>
      </c>
      <c r="EK2">
        <f>IF('Cap Table (USD)'!38:38,"AAAAAH31/4w=",0)</f>
        <v>0</v>
      </c>
      <c r="EL2" t="e">
        <f>AND('Cap Table (USD)'!A38,"AAAAAH31/40=")</f>
        <v>#VALUE!</v>
      </c>
      <c r="EM2" t="e">
        <f>AND('Cap Table (USD)'!B38,"AAAAAH31/44=")</f>
        <v>#VALUE!</v>
      </c>
      <c r="EN2" t="e">
        <f>AND('Cap Table (USD)'!C38,"AAAAAH31/48=")</f>
        <v>#VALUE!</v>
      </c>
      <c r="EO2" t="e">
        <f>AND('Cap Table (USD)'!D38,"AAAAAH31/5A=")</f>
        <v>#VALUE!</v>
      </c>
      <c r="EP2" t="e">
        <f>AND('Cap Table (USD)'!E38,"AAAAAH31/5E=")</f>
        <v>#VALUE!</v>
      </c>
      <c r="EQ2" t="e">
        <f>AND('Cap Table (USD)'!F38,"AAAAAH31/5I=")</f>
        <v>#VALUE!</v>
      </c>
      <c r="ER2" t="e">
        <f>AND('Cap Table (USD)'!G38,"AAAAAH31/5M=")</f>
        <v>#VALUE!</v>
      </c>
      <c r="ES2" t="e">
        <f>AND('Cap Table (USD)'!H38,"AAAAAH31/5Q=")</f>
        <v>#VALUE!</v>
      </c>
      <c r="ET2" t="e">
        <f>AND('Cap Table (USD)'!I38,"AAAAAH31/5U=")</f>
        <v>#VALUE!</v>
      </c>
      <c r="EU2" t="e">
        <f>AND('Cap Table (USD)'!J38,"AAAAAH31/5Y=")</f>
        <v>#VALUE!</v>
      </c>
      <c r="EV2">
        <f>IF('Cap Table (USD)'!39:39,"AAAAAH31/5c=",0)</f>
        <v>0</v>
      </c>
      <c r="EW2" t="e">
        <f>AND('Cap Table (USD)'!A39,"AAAAAH31/5g=")</f>
        <v>#VALUE!</v>
      </c>
      <c r="EX2" t="e">
        <f>AND('Cap Table (USD)'!B39,"AAAAAH31/5k=")</f>
        <v>#VALUE!</v>
      </c>
      <c r="EY2" t="e">
        <f>AND('Cap Table (USD)'!C39,"AAAAAH31/5o=")</f>
        <v>#VALUE!</v>
      </c>
      <c r="EZ2" t="e">
        <f>AND('Cap Table (USD)'!D39,"AAAAAH31/5s=")</f>
        <v>#VALUE!</v>
      </c>
      <c r="FA2" t="e">
        <f>AND('Cap Table (USD)'!E39,"AAAAAH31/5w=")</f>
        <v>#VALUE!</v>
      </c>
      <c r="FB2" t="e">
        <f>AND('Cap Table (USD)'!F39,"AAAAAH31/50=")</f>
        <v>#VALUE!</v>
      </c>
      <c r="FC2" t="e">
        <f>AND('Cap Table (USD)'!G39,"AAAAAH31/54=")</f>
        <v>#VALUE!</v>
      </c>
      <c r="FD2" t="e">
        <f>AND('Cap Table (USD)'!H39,"AAAAAH31/58=")</f>
        <v>#VALUE!</v>
      </c>
      <c r="FE2" t="e">
        <f>AND('Cap Table (USD)'!I39,"AAAAAH31/6A=")</f>
        <v>#VALUE!</v>
      </c>
      <c r="FF2" t="e">
        <f>AND('Cap Table (USD)'!J39,"AAAAAH31/6E=")</f>
        <v>#VALUE!</v>
      </c>
      <c r="FG2">
        <f>IF('Cap Table (USD)'!40:40,"AAAAAH31/6I=",0)</f>
        <v>0</v>
      </c>
      <c r="FH2" t="e">
        <f>AND('Cap Table (USD)'!A40,"AAAAAH31/6M=")</f>
        <v>#VALUE!</v>
      </c>
      <c r="FI2" t="e">
        <f>AND('Cap Table (USD)'!B40,"AAAAAH31/6Q=")</f>
        <v>#VALUE!</v>
      </c>
      <c r="FJ2" t="e">
        <f>AND('Cap Table (USD)'!C40,"AAAAAH31/6U=")</f>
        <v>#VALUE!</v>
      </c>
      <c r="FK2" t="e">
        <f>AND('Cap Table (USD)'!D40,"AAAAAH31/6Y=")</f>
        <v>#VALUE!</v>
      </c>
      <c r="FL2" t="e">
        <f>AND('Cap Table (USD)'!E40,"AAAAAH31/6c=")</f>
        <v>#VALUE!</v>
      </c>
      <c r="FM2" t="e">
        <f>AND('Cap Table (USD)'!F40,"AAAAAH31/6g=")</f>
        <v>#VALUE!</v>
      </c>
      <c r="FN2" t="e">
        <f>AND('Cap Table (USD)'!G40,"AAAAAH31/6k=")</f>
        <v>#VALUE!</v>
      </c>
      <c r="FO2" t="e">
        <f>AND('Cap Table (USD)'!H40,"AAAAAH31/6o=")</f>
        <v>#VALUE!</v>
      </c>
      <c r="FP2" t="e">
        <f>AND('Cap Table (USD)'!I40,"AAAAAH31/6s=")</f>
        <v>#VALUE!</v>
      </c>
      <c r="FQ2" t="e">
        <f>AND('Cap Table (USD)'!J40,"AAAAAH31/6w=")</f>
        <v>#VALUE!</v>
      </c>
      <c r="FR2">
        <f>IF('Cap Table (USD)'!41:41,"AAAAAH31/60=",0)</f>
        <v>0</v>
      </c>
      <c r="FS2" t="e">
        <f>AND('Cap Table (USD)'!A41,"AAAAAH31/64=")</f>
        <v>#VALUE!</v>
      </c>
      <c r="FT2" t="e">
        <f>AND('Cap Table (USD)'!B41,"AAAAAH31/68=")</f>
        <v>#VALUE!</v>
      </c>
      <c r="FU2" t="e">
        <f>AND('Cap Table (USD)'!C41,"AAAAAH31/7A=")</f>
        <v>#VALUE!</v>
      </c>
      <c r="FV2" t="e">
        <f>AND('Cap Table (USD)'!D41,"AAAAAH31/7E=")</f>
        <v>#VALUE!</v>
      </c>
      <c r="FW2" t="e">
        <f>AND('Cap Table (USD)'!E41,"AAAAAH31/7I=")</f>
        <v>#VALUE!</v>
      </c>
      <c r="FX2" t="e">
        <f>AND('Cap Table (USD)'!F41,"AAAAAH31/7M=")</f>
        <v>#VALUE!</v>
      </c>
      <c r="FY2" t="e">
        <f>AND('Cap Table (USD)'!G41,"AAAAAH31/7Q=")</f>
        <v>#VALUE!</v>
      </c>
      <c r="FZ2" t="e">
        <f>AND('Cap Table (USD)'!H41,"AAAAAH31/7U=")</f>
        <v>#VALUE!</v>
      </c>
      <c r="GA2" t="e">
        <f>AND('Cap Table (USD)'!I41,"AAAAAH31/7Y=")</f>
        <v>#VALUE!</v>
      </c>
      <c r="GB2" t="e">
        <f>AND('Cap Table (USD)'!J41,"AAAAAH31/7c=")</f>
        <v>#VALUE!</v>
      </c>
      <c r="GC2">
        <f>IF('Cap Table (USD)'!42:42,"AAAAAH31/7g=",0)</f>
        <v>0</v>
      </c>
      <c r="GD2" t="e">
        <f>AND('Cap Table (USD)'!A42,"AAAAAH31/7k=")</f>
        <v>#VALUE!</v>
      </c>
      <c r="GE2" t="e">
        <f>AND('Cap Table (USD)'!B42,"AAAAAH31/7o=")</f>
        <v>#VALUE!</v>
      </c>
      <c r="GF2" t="e">
        <f>AND('Cap Table (USD)'!C42,"AAAAAH31/7s=")</f>
        <v>#VALUE!</v>
      </c>
      <c r="GG2" t="e">
        <f>AND('Cap Table (USD)'!D42,"AAAAAH31/7w=")</f>
        <v>#VALUE!</v>
      </c>
      <c r="GH2" t="e">
        <f>AND('Cap Table (USD)'!E42,"AAAAAH31/70=")</f>
        <v>#VALUE!</v>
      </c>
      <c r="GI2" t="e">
        <f>AND('Cap Table (USD)'!F42,"AAAAAH31/74=")</f>
        <v>#VALUE!</v>
      </c>
      <c r="GJ2" t="e">
        <f>AND('Cap Table (USD)'!G42,"AAAAAH31/78=")</f>
        <v>#VALUE!</v>
      </c>
      <c r="GK2" t="e">
        <f>AND('Cap Table (USD)'!H42,"AAAAAH31/8A=")</f>
        <v>#VALUE!</v>
      </c>
      <c r="GL2" t="e">
        <f>AND('Cap Table (USD)'!I42,"AAAAAH31/8E=")</f>
        <v>#VALUE!</v>
      </c>
      <c r="GM2" t="e">
        <f>AND('Cap Table (USD)'!J42,"AAAAAH31/8I=")</f>
        <v>#VALUE!</v>
      </c>
      <c r="GN2">
        <f>IF('Cap Table (USD)'!43:43,"AAAAAH31/8M=",0)</f>
        <v>0</v>
      </c>
      <c r="GO2" t="e">
        <f>AND('Cap Table (USD)'!A43,"AAAAAH31/8Q=")</f>
        <v>#VALUE!</v>
      </c>
      <c r="GP2" t="e">
        <f>AND('Cap Table (USD)'!B43,"AAAAAH31/8U=")</f>
        <v>#VALUE!</v>
      </c>
      <c r="GQ2" t="e">
        <f>AND('Cap Table (USD)'!C43,"AAAAAH31/8Y=")</f>
        <v>#VALUE!</v>
      </c>
      <c r="GR2" t="e">
        <f>AND('Cap Table (USD)'!D43,"AAAAAH31/8c=")</f>
        <v>#VALUE!</v>
      </c>
      <c r="GS2" t="e">
        <f>AND('Cap Table (USD)'!E43,"AAAAAH31/8g=")</f>
        <v>#VALUE!</v>
      </c>
      <c r="GT2" t="e">
        <f>AND('Cap Table (USD)'!F43,"AAAAAH31/8k=")</f>
        <v>#VALUE!</v>
      </c>
      <c r="GU2" t="e">
        <f>AND('Cap Table (USD)'!G43,"AAAAAH31/8o=")</f>
        <v>#VALUE!</v>
      </c>
      <c r="GV2" t="e">
        <f>AND('Cap Table (USD)'!H43,"AAAAAH31/8s=")</f>
        <v>#VALUE!</v>
      </c>
      <c r="GW2" t="e">
        <f>AND('Cap Table (USD)'!I43,"AAAAAH31/8w=")</f>
        <v>#VALUE!</v>
      </c>
      <c r="GX2" t="e">
        <f>AND('Cap Table (USD)'!J43,"AAAAAH31/80=")</f>
        <v>#VALUE!</v>
      </c>
      <c r="GY2">
        <f>IF('Cap Table (USD)'!44:44,"AAAAAH31/84=",0)</f>
        <v>0</v>
      </c>
      <c r="GZ2" t="e">
        <f>AND('Cap Table (USD)'!A44,"AAAAAH31/88=")</f>
        <v>#VALUE!</v>
      </c>
      <c r="HA2" t="e">
        <f>AND('Cap Table (USD)'!B44,"AAAAAH31/9A=")</f>
        <v>#VALUE!</v>
      </c>
      <c r="HB2" t="e">
        <f>AND('Cap Table (USD)'!C44,"AAAAAH31/9E=")</f>
        <v>#VALUE!</v>
      </c>
      <c r="HC2" t="e">
        <f>AND('Cap Table (USD)'!D44,"AAAAAH31/9I=")</f>
        <v>#VALUE!</v>
      </c>
      <c r="HD2" t="e">
        <f>AND('Cap Table (USD)'!E44,"AAAAAH31/9M=")</f>
        <v>#VALUE!</v>
      </c>
      <c r="HE2" t="e">
        <f>AND('Cap Table (USD)'!F44,"AAAAAH31/9Q=")</f>
        <v>#VALUE!</v>
      </c>
      <c r="HF2" t="e">
        <f>AND('Cap Table (USD)'!G44,"AAAAAH31/9U=")</f>
        <v>#VALUE!</v>
      </c>
      <c r="HG2" t="e">
        <f>AND('Cap Table (USD)'!H44,"AAAAAH31/9Y=")</f>
        <v>#VALUE!</v>
      </c>
      <c r="HH2" t="e">
        <f>AND('Cap Table (USD)'!I44,"AAAAAH31/9c=")</f>
        <v>#VALUE!</v>
      </c>
      <c r="HI2" t="e">
        <f>AND('Cap Table (USD)'!J44,"AAAAAH31/9g=")</f>
        <v>#VALUE!</v>
      </c>
      <c r="HJ2">
        <f>IF('Cap Table (USD)'!45:45,"AAAAAH31/9k=",0)</f>
        <v>0</v>
      </c>
      <c r="HK2" t="e">
        <f>AND('Cap Table (USD)'!A45,"AAAAAH31/9o=")</f>
        <v>#VALUE!</v>
      </c>
      <c r="HL2" t="e">
        <f>AND('Cap Table (USD)'!B45,"AAAAAH31/9s=")</f>
        <v>#VALUE!</v>
      </c>
      <c r="HM2" t="e">
        <f>AND('Cap Table (USD)'!C45,"AAAAAH31/9w=")</f>
        <v>#VALUE!</v>
      </c>
      <c r="HN2" t="e">
        <f>AND('Cap Table (USD)'!D45,"AAAAAH31/90=")</f>
        <v>#VALUE!</v>
      </c>
      <c r="HO2" t="e">
        <f>AND('Cap Table (USD)'!E45,"AAAAAH31/94=")</f>
        <v>#VALUE!</v>
      </c>
      <c r="HP2" t="e">
        <f>AND('Cap Table (USD)'!F45,"AAAAAH31/98=")</f>
        <v>#VALUE!</v>
      </c>
      <c r="HQ2" t="e">
        <f>AND('Cap Table (USD)'!G45,"AAAAAH31/+A=")</f>
        <v>#VALUE!</v>
      </c>
      <c r="HR2" t="e">
        <f>AND('Cap Table (USD)'!H45,"AAAAAH31/+E=")</f>
        <v>#VALUE!</v>
      </c>
      <c r="HS2" t="e">
        <f>AND('Cap Table (USD)'!I45,"AAAAAH31/+I=")</f>
        <v>#VALUE!</v>
      </c>
      <c r="HT2" t="e">
        <f>AND('Cap Table (USD)'!J45,"AAAAAH31/+M=")</f>
        <v>#VALUE!</v>
      </c>
      <c r="HU2">
        <f>IF('Cap Table (USD)'!46:46,"AAAAAH31/+Q=",0)</f>
        <v>0</v>
      </c>
      <c r="HV2" t="e">
        <f>AND('Cap Table (USD)'!A46,"AAAAAH31/+U=")</f>
        <v>#VALUE!</v>
      </c>
      <c r="HW2" t="e">
        <f>AND('Cap Table (USD)'!B46,"AAAAAH31/+Y=")</f>
        <v>#VALUE!</v>
      </c>
      <c r="HX2" t="e">
        <f>AND('Cap Table (USD)'!C46,"AAAAAH31/+c=")</f>
        <v>#VALUE!</v>
      </c>
      <c r="HY2" t="e">
        <f>AND('Cap Table (USD)'!D46,"AAAAAH31/+g=")</f>
        <v>#VALUE!</v>
      </c>
      <c r="HZ2" t="e">
        <f>AND('Cap Table (USD)'!E46,"AAAAAH31/+k=")</f>
        <v>#VALUE!</v>
      </c>
      <c r="IA2" t="e">
        <f>AND('Cap Table (USD)'!F46,"AAAAAH31/+o=")</f>
        <v>#VALUE!</v>
      </c>
      <c r="IB2" t="e">
        <f>AND('Cap Table (USD)'!G46,"AAAAAH31/+s=")</f>
        <v>#VALUE!</v>
      </c>
      <c r="IC2" t="e">
        <f>AND('Cap Table (USD)'!H46,"AAAAAH31/+w=")</f>
        <v>#VALUE!</v>
      </c>
      <c r="ID2" t="e">
        <f>AND('Cap Table (USD)'!I46,"AAAAAH31/+0=")</f>
        <v>#VALUE!</v>
      </c>
      <c r="IE2" t="e">
        <f>AND('Cap Table (USD)'!J46,"AAAAAH31/+4=")</f>
        <v>#VALUE!</v>
      </c>
      <c r="IF2">
        <f>IF('Cap Table (USD)'!47:47,"AAAAAH31/+8=",0)</f>
        <v>0</v>
      </c>
      <c r="IG2" t="e">
        <f>AND('Cap Table (USD)'!A47,"AAAAAH31//A=")</f>
        <v>#VALUE!</v>
      </c>
      <c r="IH2" t="e">
        <f>AND('Cap Table (USD)'!B47,"AAAAAH31//E=")</f>
        <v>#VALUE!</v>
      </c>
      <c r="II2" t="e">
        <f>AND('Cap Table (USD)'!C47,"AAAAAH31//I=")</f>
        <v>#VALUE!</v>
      </c>
      <c r="IJ2" t="e">
        <f>AND('Cap Table (USD)'!D47,"AAAAAH31//M=")</f>
        <v>#VALUE!</v>
      </c>
      <c r="IK2" t="e">
        <f>AND('Cap Table (USD)'!E47,"AAAAAH31//Q=")</f>
        <v>#VALUE!</v>
      </c>
      <c r="IL2" t="e">
        <f>AND('Cap Table (USD)'!F47,"AAAAAH31//U=")</f>
        <v>#VALUE!</v>
      </c>
      <c r="IM2" t="e">
        <f>AND('Cap Table (USD)'!G47,"AAAAAH31//Y=")</f>
        <v>#VALUE!</v>
      </c>
      <c r="IN2" t="e">
        <f>AND('Cap Table (USD)'!H47,"AAAAAH31//c=")</f>
        <v>#VALUE!</v>
      </c>
      <c r="IO2" t="e">
        <f>AND('Cap Table (USD)'!I47,"AAAAAH31//g=")</f>
        <v>#VALUE!</v>
      </c>
      <c r="IP2" t="e">
        <f>AND('Cap Table (USD)'!J47,"AAAAAH31//k=")</f>
        <v>#VALUE!</v>
      </c>
      <c r="IQ2">
        <f>IF('Cap Table (USD)'!48:48,"AAAAAH31//o=",0)</f>
        <v>0</v>
      </c>
      <c r="IR2" t="e">
        <f>AND('Cap Table (USD)'!A48,"AAAAAH31//s=")</f>
        <v>#VALUE!</v>
      </c>
      <c r="IS2" t="e">
        <f>AND('Cap Table (USD)'!B48,"AAAAAH31//w=")</f>
        <v>#VALUE!</v>
      </c>
      <c r="IT2" t="e">
        <f>AND('Cap Table (USD)'!C48,"AAAAAH31//0=")</f>
        <v>#VALUE!</v>
      </c>
      <c r="IU2" t="e">
        <f>AND('Cap Table (USD)'!D48,"AAAAAH31//4=")</f>
        <v>#VALUE!</v>
      </c>
      <c r="IV2" t="e">
        <f>AND('Cap Table (USD)'!E48,"AAAAAH31//8=")</f>
        <v>#VALUE!</v>
      </c>
    </row>
    <row r="3" spans="1:256" ht="12.75">
      <c r="A3" t="e">
        <f>AND('Cap Table (USD)'!F48,"AAAAAH+b5wA=")</f>
        <v>#VALUE!</v>
      </c>
      <c r="B3" t="e">
        <f>AND('Cap Table (USD)'!G48,"AAAAAH+b5wE=")</f>
        <v>#VALUE!</v>
      </c>
      <c r="C3" t="e">
        <f>AND('Cap Table (USD)'!H48,"AAAAAH+b5wI=")</f>
        <v>#VALUE!</v>
      </c>
      <c r="D3" t="e">
        <f>AND('Cap Table (USD)'!I48,"AAAAAH+b5wM=")</f>
        <v>#VALUE!</v>
      </c>
      <c r="E3" t="e">
        <f>AND('Cap Table (USD)'!J48,"AAAAAH+b5wQ=")</f>
        <v>#VALUE!</v>
      </c>
      <c r="F3">
        <f>IF('Cap Table (USD)'!49:49,"AAAAAH+b5wU=",0)</f>
        <v>0</v>
      </c>
      <c r="G3" t="e">
        <f>AND('Cap Table (USD)'!A49,"AAAAAH+b5wY=")</f>
        <v>#VALUE!</v>
      </c>
      <c r="H3" t="e">
        <f>AND('Cap Table (USD)'!B49,"AAAAAH+b5wc=")</f>
        <v>#VALUE!</v>
      </c>
      <c r="I3" t="e">
        <f>AND('Cap Table (USD)'!C49,"AAAAAH+b5wg=")</f>
        <v>#VALUE!</v>
      </c>
      <c r="J3" t="e">
        <f>AND('Cap Table (USD)'!D49,"AAAAAH+b5wk=")</f>
        <v>#VALUE!</v>
      </c>
      <c r="K3" t="e">
        <f>AND('Cap Table (USD)'!E49,"AAAAAH+b5wo=")</f>
        <v>#VALUE!</v>
      </c>
      <c r="L3" t="e">
        <f>AND('Cap Table (USD)'!F49,"AAAAAH+b5ws=")</f>
        <v>#VALUE!</v>
      </c>
      <c r="M3" t="e">
        <f>AND('Cap Table (USD)'!G49,"AAAAAH+b5ww=")</f>
        <v>#VALUE!</v>
      </c>
      <c r="N3" t="e">
        <f>AND('Cap Table (USD)'!H49,"AAAAAH+b5w0=")</f>
        <v>#VALUE!</v>
      </c>
      <c r="O3" t="e">
        <f>AND('Cap Table (USD)'!I49,"AAAAAH+b5w4=")</f>
        <v>#VALUE!</v>
      </c>
      <c r="P3" t="e">
        <f>AND('Cap Table (USD)'!J49,"AAAAAH+b5w8=")</f>
        <v>#VALUE!</v>
      </c>
      <c r="Q3">
        <f>IF('Cap Table (USD)'!50:50,"AAAAAH+b5xA=",0)</f>
        <v>0</v>
      </c>
      <c r="R3" t="e">
        <f>AND('Cap Table (USD)'!A50,"AAAAAH+b5xE=")</f>
        <v>#VALUE!</v>
      </c>
      <c r="S3" t="e">
        <f>AND('Cap Table (USD)'!B50,"AAAAAH+b5xI=")</f>
        <v>#VALUE!</v>
      </c>
      <c r="T3" t="e">
        <f>AND('Cap Table (USD)'!C50,"AAAAAH+b5xM=")</f>
        <v>#VALUE!</v>
      </c>
      <c r="U3" t="e">
        <f>AND('Cap Table (USD)'!D50,"AAAAAH+b5xQ=")</f>
        <v>#VALUE!</v>
      </c>
      <c r="V3" t="e">
        <f>AND('Cap Table (USD)'!E50,"AAAAAH+b5xU=")</f>
        <v>#VALUE!</v>
      </c>
      <c r="W3" t="e">
        <f>AND('Cap Table (USD)'!F50,"AAAAAH+b5xY=")</f>
        <v>#VALUE!</v>
      </c>
      <c r="X3" t="e">
        <f>AND('Cap Table (USD)'!G50,"AAAAAH+b5xc=")</f>
        <v>#VALUE!</v>
      </c>
      <c r="Y3" t="e">
        <f>AND('Cap Table (USD)'!H50,"AAAAAH+b5xg=")</f>
        <v>#VALUE!</v>
      </c>
      <c r="Z3" t="e">
        <f>AND('Cap Table (USD)'!I50,"AAAAAH+b5xk=")</f>
        <v>#VALUE!</v>
      </c>
      <c r="AA3" t="e">
        <f>AND('Cap Table (USD)'!J50,"AAAAAH+b5xo=")</f>
        <v>#VALUE!</v>
      </c>
      <c r="AB3">
        <f>IF('Cap Table (USD)'!51:51,"AAAAAH+b5xs=",0)</f>
        <v>0</v>
      </c>
      <c r="AC3" t="e">
        <f>AND('Cap Table (USD)'!A51,"AAAAAH+b5xw=")</f>
        <v>#VALUE!</v>
      </c>
      <c r="AD3" t="e">
        <f>AND('Cap Table (USD)'!B51,"AAAAAH+b5x0=")</f>
        <v>#VALUE!</v>
      </c>
      <c r="AE3" t="e">
        <f>AND('Cap Table (USD)'!C51,"AAAAAH+b5x4=")</f>
        <v>#VALUE!</v>
      </c>
      <c r="AF3" t="e">
        <f>AND('Cap Table (USD)'!D51,"AAAAAH+b5x8=")</f>
        <v>#VALUE!</v>
      </c>
      <c r="AG3" t="e">
        <f>AND('Cap Table (USD)'!E51,"AAAAAH+b5yA=")</f>
        <v>#VALUE!</v>
      </c>
      <c r="AH3" t="e">
        <f>AND('Cap Table (USD)'!F51,"AAAAAH+b5yE=")</f>
        <v>#VALUE!</v>
      </c>
      <c r="AI3" t="e">
        <f>AND('Cap Table (USD)'!G51,"AAAAAH+b5yI=")</f>
        <v>#VALUE!</v>
      </c>
      <c r="AJ3" t="e">
        <f>AND('Cap Table (USD)'!H51,"AAAAAH+b5yM=")</f>
        <v>#VALUE!</v>
      </c>
      <c r="AK3" t="e">
        <f>AND('Cap Table (USD)'!I51,"AAAAAH+b5yQ=")</f>
        <v>#VALUE!</v>
      </c>
      <c r="AL3" t="e">
        <f>AND('Cap Table (USD)'!J51,"AAAAAH+b5yU=")</f>
        <v>#VALUE!</v>
      </c>
      <c r="AM3">
        <f>IF('Cap Table (USD)'!52:52,"AAAAAH+b5yY=",0)</f>
        <v>0</v>
      </c>
      <c r="AN3" t="e">
        <f>AND('Cap Table (USD)'!A52,"AAAAAH+b5yc=")</f>
        <v>#VALUE!</v>
      </c>
      <c r="AO3" t="e">
        <f>AND('Cap Table (USD)'!B52,"AAAAAH+b5yg=")</f>
        <v>#VALUE!</v>
      </c>
      <c r="AP3" t="e">
        <f>AND('Cap Table (USD)'!C52,"AAAAAH+b5yk=")</f>
        <v>#VALUE!</v>
      </c>
      <c r="AQ3" t="e">
        <f>AND('Cap Table (USD)'!D52,"AAAAAH+b5yo=")</f>
        <v>#VALUE!</v>
      </c>
      <c r="AR3" t="e">
        <f>AND('Cap Table (USD)'!E52,"AAAAAH+b5ys=")</f>
        <v>#VALUE!</v>
      </c>
      <c r="AS3" t="e">
        <f>AND('Cap Table (USD)'!F52,"AAAAAH+b5yw=")</f>
        <v>#VALUE!</v>
      </c>
      <c r="AT3" t="e">
        <f>AND('Cap Table (USD)'!G52,"AAAAAH+b5y0=")</f>
        <v>#VALUE!</v>
      </c>
      <c r="AU3" t="e">
        <f>AND('Cap Table (USD)'!H52,"AAAAAH+b5y4=")</f>
        <v>#VALUE!</v>
      </c>
      <c r="AV3" t="e">
        <f>AND('Cap Table (USD)'!I52,"AAAAAH+b5y8=")</f>
        <v>#VALUE!</v>
      </c>
      <c r="AW3" t="e">
        <f>AND('Cap Table (USD)'!J52,"AAAAAH+b5zA=")</f>
        <v>#VALUE!</v>
      </c>
      <c r="AX3">
        <f>IF('Cap Table (USD)'!53:53,"AAAAAH+b5zE=",0)</f>
        <v>0</v>
      </c>
      <c r="AY3" t="e">
        <f>AND('Cap Table (USD)'!A53,"AAAAAH+b5zI=")</f>
        <v>#VALUE!</v>
      </c>
      <c r="AZ3" t="e">
        <f>AND('Cap Table (USD)'!B53,"AAAAAH+b5zM=")</f>
        <v>#VALUE!</v>
      </c>
      <c r="BA3" t="e">
        <f>AND('Cap Table (USD)'!C53,"AAAAAH+b5zQ=")</f>
        <v>#VALUE!</v>
      </c>
      <c r="BB3" t="e">
        <f>AND('Cap Table (USD)'!D53,"AAAAAH+b5zU=")</f>
        <v>#VALUE!</v>
      </c>
      <c r="BC3" t="e">
        <f>AND('Cap Table (USD)'!E53,"AAAAAH+b5zY=")</f>
        <v>#VALUE!</v>
      </c>
      <c r="BD3" t="e">
        <f>AND('Cap Table (USD)'!F53,"AAAAAH+b5zc=")</f>
        <v>#VALUE!</v>
      </c>
      <c r="BE3" t="e">
        <f>AND('Cap Table (USD)'!G53,"AAAAAH+b5zg=")</f>
        <v>#VALUE!</v>
      </c>
      <c r="BF3" t="e">
        <f>AND('Cap Table (USD)'!H53,"AAAAAH+b5zk=")</f>
        <v>#VALUE!</v>
      </c>
      <c r="BG3" t="e">
        <f>AND('Cap Table (USD)'!I53,"AAAAAH+b5zo=")</f>
        <v>#VALUE!</v>
      </c>
      <c r="BH3" t="e">
        <f>AND('Cap Table (USD)'!J53,"AAAAAH+b5zs=")</f>
        <v>#VALUE!</v>
      </c>
      <c r="BI3">
        <f>IF('Cap Table (USD)'!54:54,"AAAAAH+b5zw=",0)</f>
        <v>0</v>
      </c>
      <c r="BJ3" t="e">
        <f>AND('Cap Table (USD)'!A54,"AAAAAH+b5z0=")</f>
        <v>#VALUE!</v>
      </c>
      <c r="BK3" t="e">
        <f>AND('Cap Table (USD)'!B54,"AAAAAH+b5z4=")</f>
        <v>#VALUE!</v>
      </c>
      <c r="BL3" t="e">
        <f>AND('Cap Table (USD)'!C54,"AAAAAH+b5z8=")</f>
        <v>#VALUE!</v>
      </c>
      <c r="BM3" t="e">
        <f>AND('Cap Table (USD)'!D54,"AAAAAH+b50A=")</f>
        <v>#VALUE!</v>
      </c>
      <c r="BN3" t="e">
        <f>AND('Cap Table (USD)'!E54,"AAAAAH+b50E=")</f>
        <v>#VALUE!</v>
      </c>
      <c r="BO3" t="e">
        <f>AND('Cap Table (USD)'!F54,"AAAAAH+b50I=")</f>
        <v>#VALUE!</v>
      </c>
      <c r="BP3" t="e">
        <f>AND('Cap Table (USD)'!G54,"AAAAAH+b50M=")</f>
        <v>#VALUE!</v>
      </c>
      <c r="BQ3" t="e">
        <f>AND('Cap Table (USD)'!H54,"AAAAAH+b50Q=")</f>
        <v>#VALUE!</v>
      </c>
      <c r="BR3" t="e">
        <f>AND('Cap Table (USD)'!I54,"AAAAAH+b50U=")</f>
        <v>#VALUE!</v>
      </c>
      <c r="BS3" t="e">
        <f>AND('Cap Table (USD)'!J54,"AAAAAH+b50Y=")</f>
        <v>#VALUE!</v>
      </c>
      <c r="BT3">
        <f>IF('Cap Table (USD)'!55:55,"AAAAAH+b50c=",0)</f>
        <v>0</v>
      </c>
      <c r="BU3" t="e">
        <f>AND('Cap Table (USD)'!A55,"AAAAAH+b50g=")</f>
        <v>#VALUE!</v>
      </c>
      <c r="BV3" t="e">
        <f>AND('Cap Table (USD)'!B55,"AAAAAH+b50k=")</f>
        <v>#VALUE!</v>
      </c>
      <c r="BW3" t="e">
        <f>AND('Cap Table (USD)'!C55,"AAAAAH+b50o=")</f>
        <v>#VALUE!</v>
      </c>
      <c r="BX3" t="e">
        <f>AND('Cap Table (USD)'!D55,"AAAAAH+b50s=")</f>
        <v>#VALUE!</v>
      </c>
      <c r="BY3" t="e">
        <f>AND('Cap Table (USD)'!E55,"AAAAAH+b50w=")</f>
        <v>#VALUE!</v>
      </c>
      <c r="BZ3" t="e">
        <f>AND('Cap Table (USD)'!F55,"AAAAAH+b500=")</f>
        <v>#VALUE!</v>
      </c>
      <c r="CA3" t="e">
        <f>AND('Cap Table (USD)'!G55,"AAAAAH+b504=")</f>
        <v>#VALUE!</v>
      </c>
      <c r="CB3" t="e">
        <f>AND('Cap Table (USD)'!H55,"AAAAAH+b508=")</f>
        <v>#VALUE!</v>
      </c>
      <c r="CC3" t="e">
        <f>AND('Cap Table (USD)'!I55,"AAAAAH+b51A=")</f>
        <v>#VALUE!</v>
      </c>
      <c r="CD3" t="e">
        <f>AND('Cap Table (USD)'!J55,"AAAAAH+b51E=")</f>
        <v>#VALUE!</v>
      </c>
      <c r="CE3">
        <f>IF('Cap Table (USD)'!56:56,"AAAAAH+b51I=",0)</f>
        <v>0</v>
      </c>
      <c r="CF3" t="e">
        <f>AND('Cap Table (USD)'!A56,"AAAAAH+b51M=")</f>
        <v>#VALUE!</v>
      </c>
      <c r="CG3" t="e">
        <f>AND('Cap Table (USD)'!B56,"AAAAAH+b51Q=")</f>
        <v>#VALUE!</v>
      </c>
      <c r="CH3" t="e">
        <f>AND('Cap Table (USD)'!C56,"AAAAAH+b51U=")</f>
        <v>#VALUE!</v>
      </c>
      <c r="CI3" t="e">
        <f>AND('Cap Table (USD)'!D56,"AAAAAH+b51Y=")</f>
        <v>#VALUE!</v>
      </c>
      <c r="CJ3" t="e">
        <f>AND('Cap Table (USD)'!E56,"AAAAAH+b51c=")</f>
        <v>#VALUE!</v>
      </c>
      <c r="CK3" t="e">
        <f>AND('Cap Table (USD)'!F56,"AAAAAH+b51g=")</f>
        <v>#VALUE!</v>
      </c>
      <c r="CL3" t="e">
        <f>AND('Cap Table (USD)'!G56,"AAAAAH+b51k=")</f>
        <v>#VALUE!</v>
      </c>
      <c r="CM3" t="e">
        <f>AND('Cap Table (USD)'!H56,"AAAAAH+b51o=")</f>
        <v>#VALUE!</v>
      </c>
      <c r="CN3" t="e">
        <f>AND('Cap Table (USD)'!I56,"AAAAAH+b51s=")</f>
        <v>#VALUE!</v>
      </c>
      <c r="CO3" t="e">
        <f>AND('Cap Table (USD)'!J56,"AAAAAH+b51w=")</f>
        <v>#VALUE!</v>
      </c>
      <c r="CP3">
        <f>IF('Cap Table (USD)'!57:57,"AAAAAH+b510=",0)</f>
        <v>0</v>
      </c>
      <c r="CQ3" t="e">
        <f>AND('Cap Table (USD)'!A57,"AAAAAH+b514=")</f>
        <v>#VALUE!</v>
      </c>
      <c r="CR3" t="e">
        <f>AND('Cap Table (USD)'!B57,"AAAAAH+b518=")</f>
        <v>#VALUE!</v>
      </c>
      <c r="CS3" t="e">
        <f>AND('Cap Table (USD)'!C57,"AAAAAH+b52A=")</f>
        <v>#VALUE!</v>
      </c>
      <c r="CT3" t="e">
        <f>AND('Cap Table (USD)'!D57,"AAAAAH+b52E=")</f>
        <v>#VALUE!</v>
      </c>
      <c r="CU3" t="e">
        <f>AND('Cap Table (USD)'!E57,"AAAAAH+b52I=")</f>
        <v>#VALUE!</v>
      </c>
      <c r="CV3" t="e">
        <f>AND('Cap Table (USD)'!F57,"AAAAAH+b52M=")</f>
        <v>#VALUE!</v>
      </c>
      <c r="CW3" t="e">
        <f>AND('Cap Table (USD)'!G57,"AAAAAH+b52Q=")</f>
        <v>#VALUE!</v>
      </c>
      <c r="CX3" t="e">
        <f>AND('Cap Table (USD)'!H57,"AAAAAH+b52U=")</f>
        <v>#VALUE!</v>
      </c>
      <c r="CY3" t="e">
        <f>AND('Cap Table (USD)'!I57,"AAAAAH+b52Y=")</f>
        <v>#VALUE!</v>
      </c>
      <c r="CZ3" t="e">
        <f>AND('Cap Table (USD)'!J57,"AAAAAH+b52c=")</f>
        <v>#VALUE!</v>
      </c>
      <c r="DA3">
        <f>IF('Cap Table (USD)'!58:58,"AAAAAH+b52g=",0)</f>
        <v>0</v>
      </c>
      <c r="DB3" t="e">
        <f>AND('Cap Table (USD)'!A58,"AAAAAH+b52k=")</f>
        <v>#VALUE!</v>
      </c>
      <c r="DC3" t="e">
        <f>AND('Cap Table (USD)'!B58,"AAAAAH+b52o=")</f>
        <v>#VALUE!</v>
      </c>
      <c r="DD3" t="e">
        <f>AND('Cap Table (USD)'!C58,"AAAAAH+b52s=")</f>
        <v>#VALUE!</v>
      </c>
      <c r="DE3" t="e">
        <f>AND('Cap Table (USD)'!D58,"AAAAAH+b52w=")</f>
        <v>#VALUE!</v>
      </c>
      <c r="DF3" t="e">
        <f>AND('Cap Table (USD)'!E58,"AAAAAH+b520=")</f>
        <v>#VALUE!</v>
      </c>
      <c r="DG3" t="e">
        <f>AND('Cap Table (USD)'!F58,"AAAAAH+b524=")</f>
        <v>#VALUE!</v>
      </c>
      <c r="DH3" t="e">
        <f>AND('Cap Table (USD)'!G58,"AAAAAH+b528=")</f>
        <v>#VALUE!</v>
      </c>
      <c r="DI3" t="e">
        <f>AND('Cap Table (USD)'!H58,"AAAAAH+b53A=")</f>
        <v>#VALUE!</v>
      </c>
      <c r="DJ3" t="e">
        <f>AND('Cap Table (USD)'!I58,"AAAAAH+b53E=")</f>
        <v>#VALUE!</v>
      </c>
      <c r="DK3" t="e">
        <f>AND('Cap Table (USD)'!J58,"AAAAAH+b53I=")</f>
        <v>#VALUE!</v>
      </c>
      <c r="DL3">
        <f>IF('Cap Table (USD)'!59:59,"AAAAAH+b53M=",0)</f>
        <v>0</v>
      </c>
      <c r="DM3" t="e">
        <f>AND('Cap Table (USD)'!A59,"AAAAAH+b53Q=")</f>
        <v>#VALUE!</v>
      </c>
      <c r="DN3" t="e">
        <f>AND('Cap Table (USD)'!B59,"AAAAAH+b53U=")</f>
        <v>#VALUE!</v>
      </c>
      <c r="DO3" t="e">
        <f>AND('Cap Table (USD)'!C59,"AAAAAH+b53Y=")</f>
        <v>#VALUE!</v>
      </c>
      <c r="DP3" t="e">
        <f>AND('Cap Table (USD)'!D59,"AAAAAH+b53c=")</f>
        <v>#VALUE!</v>
      </c>
      <c r="DQ3" t="e">
        <f>AND('Cap Table (USD)'!E59,"AAAAAH+b53g=")</f>
        <v>#VALUE!</v>
      </c>
      <c r="DR3" t="e">
        <f>AND('Cap Table (USD)'!F59,"AAAAAH+b53k=")</f>
        <v>#VALUE!</v>
      </c>
      <c r="DS3" t="e">
        <f>AND('Cap Table (USD)'!G59,"AAAAAH+b53o=")</f>
        <v>#VALUE!</v>
      </c>
      <c r="DT3" t="e">
        <f>AND('Cap Table (USD)'!H59,"AAAAAH+b53s=")</f>
        <v>#VALUE!</v>
      </c>
      <c r="DU3" t="e">
        <f>AND('Cap Table (USD)'!I59,"AAAAAH+b53w=")</f>
        <v>#VALUE!</v>
      </c>
      <c r="DV3" t="e">
        <f>AND('Cap Table (USD)'!J59,"AAAAAH+b530=")</f>
        <v>#VALUE!</v>
      </c>
      <c r="DW3">
        <f>IF('Cap Table (USD)'!60:60,"AAAAAH+b534=",0)</f>
        <v>0</v>
      </c>
      <c r="DX3" t="e">
        <f>AND('Cap Table (USD)'!A60,"AAAAAH+b538=")</f>
        <v>#VALUE!</v>
      </c>
      <c r="DY3" t="e">
        <f>AND('Cap Table (USD)'!B60,"AAAAAH+b54A=")</f>
        <v>#VALUE!</v>
      </c>
      <c r="DZ3" t="e">
        <f>AND('Cap Table (USD)'!C60,"AAAAAH+b54E=")</f>
        <v>#VALUE!</v>
      </c>
      <c r="EA3" t="e">
        <f>AND('Cap Table (USD)'!D60,"AAAAAH+b54I=")</f>
        <v>#VALUE!</v>
      </c>
      <c r="EB3" t="e">
        <f>AND('Cap Table (USD)'!E60,"AAAAAH+b54M=")</f>
        <v>#VALUE!</v>
      </c>
      <c r="EC3" t="e">
        <f>AND('Cap Table (USD)'!F60,"AAAAAH+b54Q=")</f>
        <v>#VALUE!</v>
      </c>
      <c r="ED3" t="e">
        <f>AND('Cap Table (USD)'!G60,"AAAAAH+b54U=")</f>
        <v>#VALUE!</v>
      </c>
      <c r="EE3" t="e">
        <f>AND('Cap Table (USD)'!H60,"AAAAAH+b54Y=")</f>
        <v>#VALUE!</v>
      </c>
      <c r="EF3" t="e">
        <f>AND('Cap Table (USD)'!I60,"AAAAAH+b54c=")</f>
        <v>#VALUE!</v>
      </c>
      <c r="EG3" t="e">
        <f>AND('Cap Table (USD)'!J60,"AAAAAH+b54g=")</f>
        <v>#VALUE!</v>
      </c>
      <c r="EH3">
        <f>IF('Cap Table (USD)'!61:61,"AAAAAH+b54k=",0)</f>
        <v>0</v>
      </c>
      <c r="EI3" t="e">
        <f>AND('Cap Table (USD)'!A61,"AAAAAH+b54o=")</f>
        <v>#VALUE!</v>
      </c>
      <c r="EJ3" t="e">
        <f>AND('Cap Table (USD)'!B61,"AAAAAH+b54s=")</f>
        <v>#VALUE!</v>
      </c>
      <c r="EK3" t="e">
        <f>AND('Cap Table (USD)'!C61,"AAAAAH+b54w=")</f>
        <v>#VALUE!</v>
      </c>
      <c r="EL3" t="e">
        <f>AND('Cap Table (USD)'!D61,"AAAAAH+b540=")</f>
        <v>#VALUE!</v>
      </c>
      <c r="EM3" t="e">
        <f>AND('Cap Table (USD)'!E61,"AAAAAH+b544=")</f>
        <v>#VALUE!</v>
      </c>
      <c r="EN3" t="e">
        <f>AND('Cap Table (USD)'!F61,"AAAAAH+b548=")</f>
        <v>#VALUE!</v>
      </c>
      <c r="EO3" t="e">
        <f>AND('Cap Table (USD)'!G61,"AAAAAH+b55A=")</f>
        <v>#VALUE!</v>
      </c>
      <c r="EP3" t="e">
        <f>AND('Cap Table (USD)'!H61,"AAAAAH+b55E=")</f>
        <v>#VALUE!</v>
      </c>
      <c r="EQ3" t="e">
        <f>AND('Cap Table (USD)'!I61,"AAAAAH+b55I=")</f>
        <v>#VALUE!</v>
      </c>
      <c r="ER3" t="e">
        <f>AND('Cap Table (USD)'!J61,"AAAAAH+b55M=")</f>
        <v>#VALUE!</v>
      </c>
      <c r="ES3">
        <f>IF('Cap Table (USD)'!62:62,"AAAAAH+b55Q=",0)</f>
        <v>0</v>
      </c>
      <c r="ET3" t="e">
        <f>AND('Cap Table (USD)'!A62,"AAAAAH+b55U=")</f>
        <v>#VALUE!</v>
      </c>
      <c r="EU3" t="e">
        <f>AND('Cap Table (USD)'!B62,"AAAAAH+b55Y=")</f>
        <v>#VALUE!</v>
      </c>
      <c r="EV3" t="e">
        <f>AND('Cap Table (USD)'!C62,"AAAAAH+b55c=")</f>
        <v>#VALUE!</v>
      </c>
      <c r="EW3" t="e">
        <f>AND('Cap Table (USD)'!D62,"AAAAAH+b55g=")</f>
        <v>#VALUE!</v>
      </c>
      <c r="EX3" t="e">
        <f>AND('Cap Table (USD)'!E62,"AAAAAH+b55k=")</f>
        <v>#VALUE!</v>
      </c>
      <c r="EY3" t="e">
        <f>AND('Cap Table (USD)'!F62,"AAAAAH+b55o=")</f>
        <v>#VALUE!</v>
      </c>
      <c r="EZ3" t="e">
        <f>AND('Cap Table (USD)'!G62,"AAAAAH+b55s=")</f>
        <v>#VALUE!</v>
      </c>
      <c r="FA3" t="e">
        <f>AND('Cap Table (USD)'!H62,"AAAAAH+b55w=")</f>
        <v>#VALUE!</v>
      </c>
      <c r="FB3" t="e">
        <f>AND('Cap Table (USD)'!I62,"AAAAAH+b550=")</f>
        <v>#VALUE!</v>
      </c>
      <c r="FC3" t="e">
        <f>AND('Cap Table (USD)'!J62,"AAAAAH+b554=")</f>
        <v>#VALUE!</v>
      </c>
      <c r="FD3">
        <f>IF('Cap Table (USD)'!63:63,"AAAAAH+b558=",0)</f>
        <v>0</v>
      </c>
      <c r="FE3" t="e">
        <f>AND('Cap Table (USD)'!A63,"AAAAAH+b56A=")</f>
        <v>#VALUE!</v>
      </c>
      <c r="FF3" t="e">
        <f>AND('Cap Table (USD)'!B63,"AAAAAH+b56E=")</f>
        <v>#VALUE!</v>
      </c>
      <c r="FG3" t="e">
        <f>AND('Cap Table (USD)'!C63,"AAAAAH+b56I=")</f>
        <v>#VALUE!</v>
      </c>
      <c r="FH3" t="e">
        <f>AND('Cap Table (USD)'!D63,"AAAAAH+b56M=")</f>
        <v>#VALUE!</v>
      </c>
      <c r="FI3" t="e">
        <f>AND('Cap Table (USD)'!E63,"AAAAAH+b56Q=")</f>
        <v>#VALUE!</v>
      </c>
      <c r="FJ3" t="e">
        <f>AND('Cap Table (USD)'!F63,"AAAAAH+b56U=")</f>
        <v>#VALUE!</v>
      </c>
      <c r="FK3" t="e">
        <f>AND('Cap Table (USD)'!G63,"AAAAAH+b56Y=")</f>
        <v>#VALUE!</v>
      </c>
      <c r="FL3" t="e">
        <f>AND('Cap Table (USD)'!H63,"AAAAAH+b56c=")</f>
        <v>#VALUE!</v>
      </c>
      <c r="FM3" t="e">
        <f>AND('Cap Table (USD)'!I63,"AAAAAH+b56g=")</f>
        <v>#VALUE!</v>
      </c>
      <c r="FN3" t="e">
        <f>AND('Cap Table (USD)'!J63,"AAAAAH+b56k=")</f>
        <v>#VALUE!</v>
      </c>
      <c r="FO3">
        <f>IF('Cap Table (USD)'!64:64,"AAAAAH+b56o=",0)</f>
        <v>0</v>
      </c>
      <c r="FP3" t="e">
        <f>AND('Cap Table (USD)'!A64,"AAAAAH+b56s=")</f>
        <v>#VALUE!</v>
      </c>
      <c r="FQ3" t="e">
        <f>AND('Cap Table (USD)'!B64,"AAAAAH+b56w=")</f>
        <v>#VALUE!</v>
      </c>
      <c r="FR3" t="e">
        <f>AND('Cap Table (USD)'!C64,"AAAAAH+b560=")</f>
        <v>#VALUE!</v>
      </c>
      <c r="FS3" t="e">
        <f>AND('Cap Table (USD)'!D64,"AAAAAH+b564=")</f>
        <v>#VALUE!</v>
      </c>
      <c r="FT3" t="e">
        <f>AND('Cap Table (USD)'!E64,"AAAAAH+b568=")</f>
        <v>#VALUE!</v>
      </c>
      <c r="FU3" t="e">
        <f>AND('Cap Table (USD)'!F64,"AAAAAH+b57A=")</f>
        <v>#VALUE!</v>
      </c>
      <c r="FV3" t="e">
        <f>AND('Cap Table (USD)'!G64,"AAAAAH+b57E=")</f>
        <v>#VALUE!</v>
      </c>
      <c r="FW3" t="e">
        <f>AND('Cap Table (USD)'!H64,"AAAAAH+b57I=")</f>
        <v>#VALUE!</v>
      </c>
      <c r="FX3" t="e">
        <f>AND('Cap Table (USD)'!I64,"AAAAAH+b57M=")</f>
        <v>#VALUE!</v>
      </c>
      <c r="FY3" t="e">
        <f>AND('Cap Table (USD)'!J64,"AAAAAH+b57Q=")</f>
        <v>#VALUE!</v>
      </c>
      <c r="FZ3">
        <f>IF('Cap Table (USD)'!65:65,"AAAAAH+b57U=",0)</f>
        <v>0</v>
      </c>
      <c r="GA3" t="e">
        <f>AND('Cap Table (USD)'!A65,"AAAAAH+b57Y=")</f>
        <v>#VALUE!</v>
      </c>
      <c r="GB3" t="e">
        <f>AND('Cap Table (USD)'!B65,"AAAAAH+b57c=")</f>
        <v>#VALUE!</v>
      </c>
      <c r="GC3" t="e">
        <f>AND('Cap Table (USD)'!C65,"AAAAAH+b57g=")</f>
        <v>#VALUE!</v>
      </c>
      <c r="GD3" t="e">
        <f>AND('Cap Table (USD)'!D65,"AAAAAH+b57k=")</f>
        <v>#VALUE!</v>
      </c>
      <c r="GE3" t="e">
        <f>AND('Cap Table (USD)'!E65,"AAAAAH+b57o=")</f>
        <v>#VALUE!</v>
      </c>
      <c r="GF3" t="e">
        <f>AND('Cap Table (USD)'!F65,"AAAAAH+b57s=")</f>
        <v>#VALUE!</v>
      </c>
      <c r="GG3" t="e">
        <f>AND('Cap Table (USD)'!G65,"AAAAAH+b57w=")</f>
        <v>#VALUE!</v>
      </c>
      <c r="GH3" t="e">
        <f>AND('Cap Table (USD)'!H65,"AAAAAH+b570=")</f>
        <v>#VALUE!</v>
      </c>
      <c r="GI3" t="e">
        <f>AND('Cap Table (USD)'!I65,"AAAAAH+b574=")</f>
        <v>#VALUE!</v>
      </c>
      <c r="GJ3" t="e">
        <f>AND('Cap Table (USD)'!J65,"AAAAAH+b578=")</f>
        <v>#VALUE!</v>
      </c>
      <c r="GK3">
        <f>IF('Cap Table (USD)'!66:66,"AAAAAH+b58A=",0)</f>
        <v>0</v>
      </c>
      <c r="GL3" t="e">
        <f>AND('Cap Table (USD)'!A66,"AAAAAH+b58E=")</f>
        <v>#VALUE!</v>
      </c>
      <c r="GM3" t="e">
        <f>AND('Cap Table (USD)'!B66,"AAAAAH+b58I=")</f>
        <v>#VALUE!</v>
      </c>
      <c r="GN3" t="e">
        <f>AND('Cap Table (USD)'!C66,"AAAAAH+b58M=")</f>
        <v>#VALUE!</v>
      </c>
      <c r="GO3" t="e">
        <f>AND('Cap Table (USD)'!D66,"AAAAAH+b58Q=")</f>
        <v>#VALUE!</v>
      </c>
      <c r="GP3" t="e">
        <f>AND('Cap Table (USD)'!E66,"AAAAAH+b58U=")</f>
        <v>#VALUE!</v>
      </c>
      <c r="GQ3" t="e">
        <f>AND('Cap Table (USD)'!F66,"AAAAAH+b58Y=")</f>
        <v>#VALUE!</v>
      </c>
      <c r="GR3" t="e">
        <f>AND('Cap Table (USD)'!G66,"AAAAAH+b58c=")</f>
        <v>#VALUE!</v>
      </c>
      <c r="GS3" t="e">
        <f>AND('Cap Table (USD)'!H66,"AAAAAH+b58g=")</f>
        <v>#VALUE!</v>
      </c>
      <c r="GT3" t="e">
        <f>AND('Cap Table (USD)'!I66,"AAAAAH+b58k=")</f>
        <v>#VALUE!</v>
      </c>
      <c r="GU3" t="e">
        <f>AND('Cap Table (USD)'!J66,"AAAAAH+b58o=")</f>
        <v>#VALUE!</v>
      </c>
      <c r="GV3">
        <f>IF('Cap Table (USD)'!67:67,"AAAAAH+b58s=",0)</f>
        <v>0</v>
      </c>
      <c r="GW3" t="e">
        <f>AND('Cap Table (USD)'!A67,"AAAAAH+b58w=")</f>
        <v>#VALUE!</v>
      </c>
      <c r="GX3" t="e">
        <f>AND('Cap Table (USD)'!B67,"AAAAAH+b580=")</f>
        <v>#VALUE!</v>
      </c>
      <c r="GY3" t="e">
        <f>AND('Cap Table (USD)'!C67,"AAAAAH+b584=")</f>
        <v>#VALUE!</v>
      </c>
      <c r="GZ3" t="e">
        <f>AND('Cap Table (USD)'!D67,"AAAAAH+b588=")</f>
        <v>#VALUE!</v>
      </c>
      <c r="HA3" t="e">
        <f>AND('Cap Table (USD)'!E67,"AAAAAH+b59A=")</f>
        <v>#VALUE!</v>
      </c>
      <c r="HB3" t="e">
        <f>AND('Cap Table (USD)'!F67,"AAAAAH+b59E=")</f>
        <v>#VALUE!</v>
      </c>
      <c r="HC3" t="e">
        <f>AND('Cap Table (USD)'!G67,"AAAAAH+b59I=")</f>
        <v>#VALUE!</v>
      </c>
      <c r="HD3" t="e">
        <f>AND('Cap Table (USD)'!H67,"AAAAAH+b59M=")</f>
        <v>#VALUE!</v>
      </c>
      <c r="HE3" t="e">
        <f>AND('Cap Table (USD)'!I67,"AAAAAH+b59Q=")</f>
        <v>#VALUE!</v>
      </c>
      <c r="HF3" t="e">
        <f>AND('Cap Table (USD)'!J67,"AAAAAH+b59U=")</f>
        <v>#VALUE!</v>
      </c>
      <c r="HG3">
        <f>IF('Cap Table (USD)'!68:68,"AAAAAH+b59Y=",0)</f>
        <v>0</v>
      </c>
      <c r="HH3" t="e">
        <f>AND('Cap Table (USD)'!A68,"AAAAAH+b59c=")</f>
        <v>#VALUE!</v>
      </c>
      <c r="HI3" t="e">
        <f>AND('Cap Table (USD)'!B68,"AAAAAH+b59g=")</f>
        <v>#VALUE!</v>
      </c>
      <c r="HJ3" t="e">
        <f>AND('Cap Table (USD)'!C68,"AAAAAH+b59k=")</f>
        <v>#VALUE!</v>
      </c>
      <c r="HK3" t="e">
        <f>AND('Cap Table (USD)'!D68,"AAAAAH+b59o=")</f>
        <v>#VALUE!</v>
      </c>
      <c r="HL3" t="e">
        <f>AND('Cap Table (USD)'!E68,"AAAAAH+b59s=")</f>
        <v>#VALUE!</v>
      </c>
      <c r="HM3" t="e">
        <f>AND('Cap Table (USD)'!F68,"AAAAAH+b59w=")</f>
        <v>#VALUE!</v>
      </c>
      <c r="HN3" t="e">
        <f>AND('Cap Table (USD)'!G68,"AAAAAH+b590=")</f>
        <v>#VALUE!</v>
      </c>
      <c r="HO3" t="e">
        <f>AND('Cap Table (USD)'!H68,"AAAAAH+b594=")</f>
        <v>#VALUE!</v>
      </c>
      <c r="HP3" t="e">
        <f>AND('Cap Table (USD)'!I68,"AAAAAH+b598=")</f>
        <v>#VALUE!</v>
      </c>
      <c r="HQ3" t="e">
        <f>AND('Cap Table (USD)'!J68,"AAAAAH+b5+A=")</f>
        <v>#VALUE!</v>
      </c>
      <c r="HR3">
        <f>IF('Cap Table (USD)'!69:69,"AAAAAH+b5+E=",0)</f>
        <v>0</v>
      </c>
      <c r="HS3" t="e">
        <f>AND('Cap Table (USD)'!A69,"AAAAAH+b5+I=")</f>
        <v>#VALUE!</v>
      </c>
      <c r="HT3" t="e">
        <f>AND('Cap Table (USD)'!B69,"AAAAAH+b5+M=")</f>
        <v>#VALUE!</v>
      </c>
      <c r="HU3" t="e">
        <f>AND('Cap Table (USD)'!C69,"AAAAAH+b5+Q=")</f>
        <v>#VALUE!</v>
      </c>
      <c r="HV3" t="e">
        <f>AND('Cap Table (USD)'!D69,"AAAAAH+b5+U=")</f>
        <v>#VALUE!</v>
      </c>
      <c r="HW3" t="e">
        <f>AND('Cap Table (USD)'!E69,"AAAAAH+b5+Y=")</f>
        <v>#VALUE!</v>
      </c>
      <c r="HX3" t="e">
        <f>AND('Cap Table (USD)'!F69,"AAAAAH+b5+c=")</f>
        <v>#VALUE!</v>
      </c>
      <c r="HY3" t="e">
        <f>AND('Cap Table (USD)'!G69,"AAAAAH+b5+g=")</f>
        <v>#VALUE!</v>
      </c>
      <c r="HZ3" t="e">
        <f>AND('Cap Table (USD)'!H69,"AAAAAH+b5+k=")</f>
        <v>#VALUE!</v>
      </c>
      <c r="IA3" t="e">
        <f>AND('Cap Table (USD)'!I69,"AAAAAH+b5+o=")</f>
        <v>#VALUE!</v>
      </c>
      <c r="IB3" t="e">
        <f>AND('Cap Table (USD)'!J69,"AAAAAH+b5+s=")</f>
        <v>#VALUE!</v>
      </c>
      <c r="IC3">
        <f>IF('Cap Table (USD)'!70:70,"AAAAAH+b5+w=",0)</f>
        <v>0</v>
      </c>
      <c r="ID3">
        <f>IF('Cap Table (USD)'!A:A,"AAAAAH+b5+0=",0)</f>
        <v>0</v>
      </c>
      <c r="IE3">
        <f>IF('Cap Table (USD)'!B:B,"AAAAAH+b5+4=",0)</f>
        <v>0</v>
      </c>
      <c r="IF3">
        <f>IF('Cap Table (USD)'!C:C,"AAAAAH+b5+8=",0)</f>
        <v>0</v>
      </c>
      <c r="IG3">
        <f>IF('Cap Table (USD)'!D:D,"AAAAAH+b5/A=",0)</f>
        <v>0</v>
      </c>
      <c r="IH3">
        <f>IF('Cap Table (USD)'!E:E,"AAAAAH+b5/E=",0)</f>
        <v>0</v>
      </c>
      <c r="II3">
        <f>IF('Cap Table (USD)'!F:F,"AAAAAH+b5/I=",0)</f>
        <v>0</v>
      </c>
      <c r="IJ3">
        <f>IF('Cap Table (USD)'!G:G,"AAAAAH+b5/M=",0)</f>
        <v>0</v>
      </c>
      <c r="IK3">
        <f>IF('Cap Table (USD)'!H:H,"AAAAAH+b5/Q=",0)</f>
        <v>0</v>
      </c>
      <c r="IL3">
        <f>IF('Cap Table (USD)'!I:I,"AAAAAH+b5/U=",0)</f>
        <v>0</v>
      </c>
      <c r="IM3">
        <f>IF('Cap Table (USD)'!J:J,"AAAAAH+b5/Y=",0)</f>
        <v>0</v>
      </c>
      <c r="IN3">
        <f>IF(Guide!1:1,"AAAAAH+b5/c=",0)</f>
        <v>0</v>
      </c>
      <c r="IO3" t="e">
        <f>AND(Guide!A1,"AAAAAH+b5/g=")</f>
        <v>#VALUE!</v>
      </c>
      <c r="IP3" t="e">
        <f>AND(Guide!B1,"AAAAAH+b5/k=")</f>
        <v>#VALUE!</v>
      </c>
      <c r="IQ3" t="e">
        <f>AND(Guide!C1,"AAAAAH+b5/o=")</f>
        <v>#VALUE!</v>
      </c>
      <c r="IR3" t="e">
        <f>AND(Guide!D1,"AAAAAH+b5/s=")</f>
        <v>#VALUE!</v>
      </c>
      <c r="IS3" t="e">
        <f>AND(Guide!E1,"AAAAAH+b5/w=")</f>
        <v>#VALUE!</v>
      </c>
      <c r="IT3" t="e">
        <f>AND(Guide!F1,"AAAAAH+b5/0=")</f>
        <v>#VALUE!</v>
      </c>
      <c r="IU3" t="e">
        <f>AND(Guide!G1,"AAAAAH+b5/4=")</f>
        <v>#VALUE!</v>
      </c>
      <c r="IV3" t="e">
        <f>AND(Guide!H1,"AAAAAH+b5/8=")</f>
        <v>#VALUE!</v>
      </c>
    </row>
    <row r="4" spans="1:256" ht="12.75">
      <c r="A4" t="e">
        <f>AND(Guide!I1,"AAAAAHP/zwA=")</f>
        <v>#VALUE!</v>
      </c>
      <c r="B4">
        <f>IF(Guide!2:2,"AAAAAHP/zwE=",0)</f>
        <v>0</v>
      </c>
      <c r="C4" t="e">
        <f>AND(Guide!A2,"AAAAAHP/zwI=")</f>
        <v>#VALUE!</v>
      </c>
      <c r="D4" t="e">
        <f>AND(Guide!B2,"AAAAAHP/zwM=")</f>
        <v>#VALUE!</v>
      </c>
      <c r="E4" t="e">
        <f>AND(Guide!C2,"AAAAAHP/zwQ=")</f>
        <v>#VALUE!</v>
      </c>
      <c r="F4" t="e">
        <f>AND(Guide!D2,"AAAAAHP/zwU=")</f>
        <v>#VALUE!</v>
      </c>
      <c r="G4" t="e">
        <f>AND(Guide!E2,"AAAAAHP/zwY=")</f>
        <v>#VALUE!</v>
      </c>
      <c r="H4" t="e">
        <f>AND(Guide!F2,"AAAAAHP/zwc=")</f>
        <v>#VALUE!</v>
      </c>
      <c r="I4" t="e">
        <f>AND(Guide!G2,"AAAAAHP/zwg=")</f>
        <v>#VALUE!</v>
      </c>
      <c r="J4" t="e">
        <f>AND(Guide!H2,"AAAAAHP/zwk=")</f>
        <v>#VALUE!</v>
      </c>
      <c r="K4" t="e">
        <f>AND(Guide!I2,"AAAAAHP/zwo=")</f>
        <v>#VALUE!</v>
      </c>
      <c r="L4">
        <f>IF(Guide!3:3,"AAAAAHP/zws=",0)</f>
        <v>0</v>
      </c>
      <c r="M4" t="e">
        <f>AND(Guide!A3,"AAAAAHP/zww=")</f>
        <v>#VALUE!</v>
      </c>
      <c r="N4" t="e">
        <f>AND(Guide!B3,"AAAAAHP/zw0=")</f>
        <v>#VALUE!</v>
      </c>
      <c r="O4" t="e">
        <f>AND(Guide!C3,"AAAAAHP/zw4=")</f>
        <v>#VALUE!</v>
      </c>
      <c r="P4" t="e">
        <f>AND(Guide!D3,"AAAAAHP/zw8=")</f>
        <v>#VALUE!</v>
      </c>
      <c r="Q4" t="e">
        <f>AND(Guide!E3,"AAAAAHP/zxA=")</f>
        <v>#VALUE!</v>
      </c>
      <c r="R4" t="e">
        <f>AND(Guide!F3,"AAAAAHP/zxE=")</f>
        <v>#VALUE!</v>
      </c>
      <c r="S4" t="e">
        <f>AND(Guide!G3,"AAAAAHP/zxI=")</f>
        <v>#VALUE!</v>
      </c>
      <c r="T4" t="e">
        <f>AND(Guide!H3,"AAAAAHP/zxM=")</f>
        <v>#VALUE!</v>
      </c>
      <c r="U4" t="e">
        <f>AND(Guide!I3,"AAAAAHP/zxQ=")</f>
        <v>#VALUE!</v>
      </c>
      <c r="V4">
        <f>IF(Guide!4:4,"AAAAAHP/zxU=",0)</f>
        <v>0</v>
      </c>
      <c r="W4" t="e">
        <f>AND(Guide!A4,"AAAAAHP/zxY=")</f>
        <v>#VALUE!</v>
      </c>
      <c r="X4" t="e">
        <f>AND(Guide!B4,"AAAAAHP/zxc=")</f>
        <v>#VALUE!</v>
      </c>
      <c r="Y4" t="e">
        <f>AND(Guide!C4,"AAAAAHP/zxg=")</f>
        <v>#VALUE!</v>
      </c>
      <c r="Z4" t="e">
        <f>AND(Guide!D4,"AAAAAHP/zxk=")</f>
        <v>#VALUE!</v>
      </c>
      <c r="AA4" t="e">
        <f>AND(Guide!E4,"AAAAAHP/zxo=")</f>
        <v>#VALUE!</v>
      </c>
      <c r="AB4" t="e">
        <f>AND(Guide!F4,"AAAAAHP/zxs=")</f>
        <v>#VALUE!</v>
      </c>
      <c r="AC4" t="e">
        <f>AND(Guide!G4,"AAAAAHP/zxw=")</f>
        <v>#VALUE!</v>
      </c>
      <c r="AD4" t="e">
        <f>AND(Guide!H4,"AAAAAHP/zx0=")</f>
        <v>#VALUE!</v>
      </c>
      <c r="AE4" t="e">
        <f>AND(Guide!I4,"AAAAAHP/zx4=")</f>
        <v>#VALUE!</v>
      </c>
      <c r="AF4">
        <f>IF(Guide!5:5,"AAAAAHP/zx8=",0)</f>
        <v>0</v>
      </c>
      <c r="AG4" t="e">
        <f>AND(Guide!A5,"AAAAAHP/zyA=")</f>
        <v>#VALUE!</v>
      </c>
      <c r="AH4" t="e">
        <f>AND(Guide!B5,"AAAAAHP/zyE=")</f>
        <v>#VALUE!</v>
      </c>
      <c r="AI4" t="e">
        <f>AND(Guide!C5,"AAAAAHP/zyI=")</f>
        <v>#VALUE!</v>
      </c>
      <c r="AJ4" t="e">
        <f>AND(Guide!D5,"AAAAAHP/zyM=")</f>
        <v>#VALUE!</v>
      </c>
      <c r="AK4" t="e">
        <f>AND(Guide!E5,"AAAAAHP/zyQ=")</f>
        <v>#VALUE!</v>
      </c>
      <c r="AL4" t="e">
        <f>AND(Guide!F5,"AAAAAHP/zyU=")</f>
        <v>#VALUE!</v>
      </c>
      <c r="AM4" t="e">
        <f>AND(Guide!G5,"AAAAAHP/zyY=")</f>
        <v>#VALUE!</v>
      </c>
      <c r="AN4" t="e">
        <f>AND(Guide!H5,"AAAAAHP/zyc=")</f>
        <v>#VALUE!</v>
      </c>
      <c r="AO4" t="e">
        <f>AND(Guide!I5,"AAAAAHP/zyg=")</f>
        <v>#VALUE!</v>
      </c>
      <c r="AP4">
        <f>IF(Guide!6:6,"AAAAAHP/zyk=",0)</f>
        <v>0</v>
      </c>
      <c r="AQ4" t="e">
        <f>AND(Guide!A6,"AAAAAHP/zyo=")</f>
        <v>#VALUE!</v>
      </c>
      <c r="AR4" t="e">
        <f>AND(Guide!B6,"AAAAAHP/zys=")</f>
        <v>#VALUE!</v>
      </c>
      <c r="AS4" t="e">
        <f>AND(Guide!C6,"AAAAAHP/zyw=")</f>
        <v>#VALUE!</v>
      </c>
      <c r="AT4" t="e">
        <f>AND(Guide!D6,"AAAAAHP/zy0=")</f>
        <v>#VALUE!</v>
      </c>
      <c r="AU4" t="e">
        <f>AND(Guide!E6,"AAAAAHP/zy4=")</f>
        <v>#VALUE!</v>
      </c>
      <c r="AV4" t="e">
        <f>AND(Guide!F6,"AAAAAHP/zy8=")</f>
        <v>#VALUE!</v>
      </c>
      <c r="AW4" t="e">
        <f>AND(Guide!G6,"AAAAAHP/zzA=")</f>
        <v>#VALUE!</v>
      </c>
      <c r="AX4" t="e">
        <f>AND(Guide!H6,"AAAAAHP/zzE=")</f>
        <v>#VALUE!</v>
      </c>
      <c r="AY4" t="e">
        <f>AND(Guide!I6,"AAAAAHP/zzI=")</f>
        <v>#VALUE!</v>
      </c>
      <c r="AZ4">
        <f>IF(Guide!7:7,"AAAAAHP/zzM=",0)</f>
        <v>0</v>
      </c>
      <c r="BA4" t="e">
        <f>AND(Guide!A7,"AAAAAHP/zzQ=")</f>
        <v>#VALUE!</v>
      </c>
      <c r="BB4" t="e">
        <f>AND(Guide!B7,"AAAAAHP/zzU=")</f>
        <v>#VALUE!</v>
      </c>
      <c r="BC4" t="e">
        <f>AND(Guide!C7,"AAAAAHP/zzY=")</f>
        <v>#VALUE!</v>
      </c>
      <c r="BD4" t="e">
        <f>AND(Guide!D7,"AAAAAHP/zzc=")</f>
        <v>#VALUE!</v>
      </c>
      <c r="BE4" t="e">
        <f>AND(Guide!E7,"AAAAAHP/zzg=")</f>
        <v>#VALUE!</v>
      </c>
      <c r="BF4" t="e">
        <f>AND(Guide!F7,"AAAAAHP/zzk=")</f>
        <v>#VALUE!</v>
      </c>
      <c r="BG4" t="e">
        <f>AND(Guide!G7,"AAAAAHP/zzo=")</f>
        <v>#VALUE!</v>
      </c>
      <c r="BH4" t="e">
        <f>AND(Guide!H7,"AAAAAHP/zzs=")</f>
        <v>#VALUE!</v>
      </c>
      <c r="BI4" t="e">
        <f>AND(Guide!I7,"AAAAAHP/zzw=")</f>
        <v>#VALUE!</v>
      </c>
      <c r="BJ4">
        <f>IF(Guide!8:8,"AAAAAHP/zz0=",0)</f>
        <v>0</v>
      </c>
      <c r="BK4" t="e">
        <f>AND(Guide!A8,"AAAAAHP/zz4=")</f>
        <v>#VALUE!</v>
      </c>
      <c r="BL4" t="e">
        <f>AND(Guide!B8,"AAAAAHP/zz8=")</f>
        <v>#VALUE!</v>
      </c>
      <c r="BM4" t="e">
        <f>AND(Guide!C8,"AAAAAHP/z0A=")</f>
        <v>#VALUE!</v>
      </c>
      <c r="BN4" t="e">
        <f>AND(Guide!D8,"AAAAAHP/z0E=")</f>
        <v>#VALUE!</v>
      </c>
      <c r="BO4" t="e">
        <f>AND(Guide!E8,"AAAAAHP/z0I=")</f>
        <v>#VALUE!</v>
      </c>
      <c r="BP4" t="e">
        <f>AND(Guide!F8,"AAAAAHP/z0M=")</f>
        <v>#VALUE!</v>
      </c>
      <c r="BQ4" t="e">
        <f>AND(Guide!G8,"AAAAAHP/z0Q=")</f>
        <v>#VALUE!</v>
      </c>
      <c r="BR4" t="e">
        <f>AND(Guide!H8,"AAAAAHP/z0U=")</f>
        <v>#VALUE!</v>
      </c>
      <c r="BS4" t="e">
        <f>AND(Guide!I8,"AAAAAHP/z0Y=")</f>
        <v>#VALUE!</v>
      </c>
      <c r="BT4">
        <f>IF(Guide!9:9,"AAAAAHP/z0c=",0)</f>
        <v>0</v>
      </c>
      <c r="BU4" t="e">
        <f>AND(Guide!A9,"AAAAAHP/z0g=")</f>
        <v>#VALUE!</v>
      </c>
      <c r="BV4" t="e">
        <f>AND(Guide!B9,"AAAAAHP/z0k=")</f>
        <v>#VALUE!</v>
      </c>
      <c r="BW4" t="e">
        <f>AND(Guide!C9,"AAAAAHP/z0o=")</f>
        <v>#VALUE!</v>
      </c>
      <c r="BX4" t="e">
        <f>AND(Guide!D9,"AAAAAHP/z0s=")</f>
        <v>#VALUE!</v>
      </c>
      <c r="BY4" t="e">
        <f>AND(Guide!E9,"AAAAAHP/z0w=")</f>
        <v>#VALUE!</v>
      </c>
      <c r="BZ4" t="e">
        <f>AND(Guide!F9,"AAAAAHP/z00=")</f>
        <v>#VALUE!</v>
      </c>
      <c r="CA4" t="e">
        <f>AND(Guide!G9,"AAAAAHP/z04=")</f>
        <v>#VALUE!</v>
      </c>
      <c r="CB4" t="e">
        <f>AND(Guide!H9,"AAAAAHP/z08=")</f>
        <v>#VALUE!</v>
      </c>
      <c r="CC4" t="e">
        <f>AND(Guide!I9,"AAAAAHP/z1A=")</f>
        <v>#VALUE!</v>
      </c>
      <c r="CD4">
        <f>IF(Guide!10:10,"AAAAAHP/z1E=",0)</f>
        <v>0</v>
      </c>
      <c r="CE4" t="e">
        <f>AND(Guide!A10,"AAAAAHP/z1I=")</f>
        <v>#VALUE!</v>
      </c>
      <c r="CF4" t="e">
        <f>AND(Guide!B10,"AAAAAHP/z1M=")</f>
        <v>#VALUE!</v>
      </c>
      <c r="CG4" t="e">
        <f>AND(Guide!C10,"AAAAAHP/z1Q=")</f>
        <v>#VALUE!</v>
      </c>
      <c r="CH4" t="e">
        <f>AND(Guide!D10,"AAAAAHP/z1U=")</f>
        <v>#VALUE!</v>
      </c>
      <c r="CI4" t="e">
        <f>AND(Guide!E10,"AAAAAHP/z1Y=")</f>
        <v>#VALUE!</v>
      </c>
      <c r="CJ4" t="e">
        <f>AND(Guide!F10,"AAAAAHP/z1c=")</f>
        <v>#VALUE!</v>
      </c>
      <c r="CK4" t="e">
        <f>AND(Guide!G10,"AAAAAHP/z1g=")</f>
        <v>#VALUE!</v>
      </c>
      <c r="CL4" t="e">
        <f>AND(Guide!H10,"AAAAAHP/z1k=")</f>
        <v>#VALUE!</v>
      </c>
      <c r="CM4" t="e">
        <f>AND(Guide!I10,"AAAAAHP/z1o=")</f>
        <v>#VALUE!</v>
      </c>
      <c r="CN4">
        <f>IF(Guide!11:11,"AAAAAHP/z1s=",0)</f>
        <v>0</v>
      </c>
      <c r="CO4" t="e">
        <f>AND(Guide!A11,"AAAAAHP/z1w=")</f>
        <v>#VALUE!</v>
      </c>
      <c r="CP4" t="e">
        <f>AND(Guide!B11,"AAAAAHP/z10=")</f>
        <v>#VALUE!</v>
      </c>
      <c r="CQ4" t="e">
        <f>AND(Guide!C11,"AAAAAHP/z14=")</f>
        <v>#VALUE!</v>
      </c>
      <c r="CR4" t="e">
        <f>AND(Guide!D11,"AAAAAHP/z18=")</f>
        <v>#VALUE!</v>
      </c>
      <c r="CS4" t="e">
        <f>AND(Guide!E11,"AAAAAHP/z2A=")</f>
        <v>#VALUE!</v>
      </c>
      <c r="CT4" t="e">
        <f>AND(Guide!F11,"AAAAAHP/z2E=")</f>
        <v>#VALUE!</v>
      </c>
      <c r="CU4" t="e">
        <f>AND(Guide!G11,"AAAAAHP/z2I=")</f>
        <v>#VALUE!</v>
      </c>
      <c r="CV4" t="e">
        <f>AND(Guide!H11,"AAAAAHP/z2M=")</f>
        <v>#VALUE!</v>
      </c>
      <c r="CW4" t="e">
        <f>AND(Guide!I11,"AAAAAHP/z2Q=")</f>
        <v>#VALUE!</v>
      </c>
      <c r="CX4">
        <f>IF(Guide!12:12,"AAAAAHP/z2U=",0)</f>
        <v>0</v>
      </c>
      <c r="CY4" t="e">
        <f>AND(Guide!A12,"AAAAAHP/z2Y=")</f>
        <v>#VALUE!</v>
      </c>
      <c r="CZ4" t="e">
        <f>AND(Guide!B12,"AAAAAHP/z2c=")</f>
        <v>#VALUE!</v>
      </c>
      <c r="DA4" t="e">
        <f>AND(Guide!C12,"AAAAAHP/z2g=")</f>
        <v>#VALUE!</v>
      </c>
      <c r="DB4" t="e">
        <f>AND(Guide!D12,"AAAAAHP/z2k=")</f>
        <v>#VALUE!</v>
      </c>
      <c r="DC4" t="e">
        <f>AND(Guide!E12,"AAAAAHP/z2o=")</f>
        <v>#VALUE!</v>
      </c>
      <c r="DD4" t="e">
        <f>AND(Guide!F12,"AAAAAHP/z2s=")</f>
        <v>#VALUE!</v>
      </c>
      <c r="DE4" t="e">
        <f>AND(Guide!G12,"AAAAAHP/z2w=")</f>
        <v>#VALUE!</v>
      </c>
      <c r="DF4" t="e">
        <f>AND(Guide!H12,"AAAAAHP/z20=")</f>
        <v>#VALUE!</v>
      </c>
      <c r="DG4" t="e">
        <f>AND(Guide!I12,"AAAAAHP/z24=")</f>
        <v>#VALUE!</v>
      </c>
      <c r="DH4">
        <f>IF(Guide!13:13,"AAAAAHP/z28=",0)</f>
        <v>0</v>
      </c>
      <c r="DI4" t="e">
        <f>AND(Guide!A13,"AAAAAHP/z3A=")</f>
        <v>#VALUE!</v>
      </c>
      <c r="DJ4" t="e">
        <f>AND(Guide!B13,"AAAAAHP/z3E=")</f>
        <v>#VALUE!</v>
      </c>
      <c r="DK4" t="e">
        <f>AND(Guide!C13,"AAAAAHP/z3I=")</f>
        <v>#VALUE!</v>
      </c>
      <c r="DL4" t="e">
        <f>AND(Guide!D13,"AAAAAHP/z3M=")</f>
        <v>#VALUE!</v>
      </c>
      <c r="DM4" t="e">
        <f>AND(Guide!E13,"AAAAAHP/z3Q=")</f>
        <v>#VALUE!</v>
      </c>
      <c r="DN4" t="e">
        <f>AND(Guide!F13,"AAAAAHP/z3U=")</f>
        <v>#VALUE!</v>
      </c>
      <c r="DO4" t="e">
        <f>AND(Guide!G13,"AAAAAHP/z3Y=")</f>
        <v>#VALUE!</v>
      </c>
      <c r="DP4" t="e">
        <f>AND(Guide!H13,"AAAAAHP/z3c=")</f>
        <v>#VALUE!</v>
      </c>
      <c r="DQ4" t="e">
        <f>AND(Guide!I13,"AAAAAHP/z3g=")</f>
        <v>#VALUE!</v>
      </c>
      <c r="DR4">
        <f>IF(Guide!14:14,"AAAAAHP/z3k=",0)</f>
        <v>0</v>
      </c>
      <c r="DS4" t="e">
        <f>AND(Guide!A14,"AAAAAHP/z3o=")</f>
        <v>#VALUE!</v>
      </c>
      <c r="DT4" t="e">
        <f>AND(Guide!B14,"AAAAAHP/z3s=")</f>
        <v>#VALUE!</v>
      </c>
      <c r="DU4" t="e">
        <f>AND(Guide!C14,"AAAAAHP/z3w=")</f>
        <v>#VALUE!</v>
      </c>
      <c r="DV4" t="e">
        <f>AND(Guide!D14,"AAAAAHP/z30=")</f>
        <v>#VALUE!</v>
      </c>
      <c r="DW4" t="e">
        <f>AND(Guide!E14,"AAAAAHP/z34=")</f>
        <v>#VALUE!</v>
      </c>
      <c r="DX4" t="e">
        <f>AND(Guide!F14,"AAAAAHP/z38=")</f>
        <v>#VALUE!</v>
      </c>
      <c r="DY4" t="e">
        <f>AND(Guide!G14,"AAAAAHP/z4A=")</f>
        <v>#VALUE!</v>
      </c>
      <c r="DZ4" t="e">
        <f>AND(Guide!H14,"AAAAAHP/z4E=")</f>
        <v>#VALUE!</v>
      </c>
      <c r="EA4" t="e">
        <f>AND(Guide!I14,"AAAAAHP/z4I=")</f>
        <v>#VALUE!</v>
      </c>
      <c r="EB4">
        <f>IF(Guide!15:15,"AAAAAHP/z4M=",0)</f>
        <v>0</v>
      </c>
      <c r="EC4" t="e">
        <f>AND(Guide!A15,"AAAAAHP/z4Q=")</f>
        <v>#VALUE!</v>
      </c>
      <c r="ED4" t="e">
        <f>AND(Guide!B15,"AAAAAHP/z4U=")</f>
        <v>#VALUE!</v>
      </c>
      <c r="EE4" t="e">
        <f>AND(Guide!C15,"AAAAAHP/z4Y=")</f>
        <v>#VALUE!</v>
      </c>
      <c r="EF4" t="e">
        <f>AND(Guide!D15,"AAAAAHP/z4c=")</f>
        <v>#VALUE!</v>
      </c>
      <c r="EG4" t="e">
        <f>AND(Guide!E15,"AAAAAHP/z4g=")</f>
        <v>#VALUE!</v>
      </c>
      <c r="EH4" t="e">
        <f>AND(Guide!F15,"AAAAAHP/z4k=")</f>
        <v>#VALUE!</v>
      </c>
      <c r="EI4" t="e">
        <f>AND(Guide!G15,"AAAAAHP/z4o=")</f>
        <v>#VALUE!</v>
      </c>
      <c r="EJ4" t="e">
        <f>AND(Guide!H15,"AAAAAHP/z4s=")</f>
        <v>#VALUE!</v>
      </c>
      <c r="EK4" t="e">
        <f>AND(Guide!I15,"AAAAAHP/z4w=")</f>
        <v>#VALUE!</v>
      </c>
      <c r="EL4">
        <f>IF(Guide!16:16,"AAAAAHP/z40=",0)</f>
        <v>0</v>
      </c>
      <c r="EM4" t="e">
        <f>AND(Guide!A16,"AAAAAHP/z44=")</f>
        <v>#VALUE!</v>
      </c>
      <c r="EN4" t="e">
        <f>AND(Guide!B16,"AAAAAHP/z48=")</f>
        <v>#VALUE!</v>
      </c>
      <c r="EO4" t="e">
        <f>AND(Guide!C16,"AAAAAHP/z5A=")</f>
        <v>#VALUE!</v>
      </c>
      <c r="EP4" t="e">
        <f>AND(Guide!D16,"AAAAAHP/z5E=")</f>
        <v>#VALUE!</v>
      </c>
      <c r="EQ4" t="e">
        <f>AND(Guide!E16,"AAAAAHP/z5I=")</f>
        <v>#VALUE!</v>
      </c>
      <c r="ER4" t="e">
        <f>AND(Guide!F16,"AAAAAHP/z5M=")</f>
        <v>#VALUE!</v>
      </c>
      <c r="ES4" t="e">
        <f>AND(Guide!G16,"AAAAAHP/z5Q=")</f>
        <v>#VALUE!</v>
      </c>
      <c r="ET4" t="e">
        <f>AND(Guide!H16,"AAAAAHP/z5U=")</f>
        <v>#VALUE!</v>
      </c>
      <c r="EU4" t="e">
        <f>AND(Guide!I16,"AAAAAHP/z5Y=")</f>
        <v>#VALUE!</v>
      </c>
      <c r="EV4">
        <f>IF(Guide!17:17,"AAAAAHP/z5c=",0)</f>
        <v>0</v>
      </c>
      <c r="EW4" t="e">
        <f>AND(Guide!A17,"AAAAAHP/z5g=")</f>
        <v>#VALUE!</v>
      </c>
      <c r="EX4" t="e">
        <f>AND(Guide!B17,"AAAAAHP/z5k=")</f>
        <v>#VALUE!</v>
      </c>
      <c r="EY4" t="e">
        <f>AND(Guide!C17,"AAAAAHP/z5o=")</f>
        <v>#VALUE!</v>
      </c>
      <c r="EZ4" t="e">
        <f>AND(Guide!D17,"AAAAAHP/z5s=")</f>
        <v>#VALUE!</v>
      </c>
      <c r="FA4" t="e">
        <f>AND(Guide!E17,"AAAAAHP/z5w=")</f>
        <v>#VALUE!</v>
      </c>
      <c r="FB4" t="e">
        <f>AND(Guide!F17,"AAAAAHP/z50=")</f>
        <v>#VALUE!</v>
      </c>
      <c r="FC4" t="e">
        <f>AND(Guide!G17,"AAAAAHP/z54=")</f>
        <v>#VALUE!</v>
      </c>
      <c r="FD4" t="e">
        <f>AND(Guide!H17,"AAAAAHP/z58=")</f>
        <v>#VALUE!</v>
      </c>
      <c r="FE4" t="e">
        <f>AND(Guide!I17,"AAAAAHP/z6A=")</f>
        <v>#VALUE!</v>
      </c>
      <c r="FF4">
        <f>IF(Guide!18:18,"AAAAAHP/z6E=",0)</f>
        <v>0</v>
      </c>
      <c r="FG4" t="e">
        <f>AND(Guide!A18,"AAAAAHP/z6I=")</f>
        <v>#VALUE!</v>
      </c>
      <c r="FH4" t="e">
        <f>AND(Guide!B18,"AAAAAHP/z6M=")</f>
        <v>#VALUE!</v>
      </c>
      <c r="FI4" t="e">
        <f>AND(Guide!C18,"AAAAAHP/z6Q=")</f>
        <v>#VALUE!</v>
      </c>
      <c r="FJ4" t="e">
        <f>AND(Guide!D18,"AAAAAHP/z6U=")</f>
        <v>#VALUE!</v>
      </c>
      <c r="FK4" t="e">
        <f>AND(Guide!E18,"AAAAAHP/z6Y=")</f>
        <v>#VALUE!</v>
      </c>
      <c r="FL4" t="e">
        <f>AND(Guide!F18,"AAAAAHP/z6c=")</f>
        <v>#VALUE!</v>
      </c>
      <c r="FM4" t="e">
        <f>AND(Guide!G18,"AAAAAHP/z6g=")</f>
        <v>#VALUE!</v>
      </c>
      <c r="FN4" t="e">
        <f>AND(Guide!H18,"AAAAAHP/z6k=")</f>
        <v>#VALUE!</v>
      </c>
      <c r="FO4" t="e">
        <f>AND(Guide!I18,"AAAAAHP/z6o=")</f>
        <v>#VALUE!</v>
      </c>
      <c r="FP4">
        <f>IF(Guide!19:19,"AAAAAHP/z6s=",0)</f>
        <v>0</v>
      </c>
      <c r="FQ4" t="e">
        <f>AND(Guide!A19,"AAAAAHP/z6w=")</f>
        <v>#VALUE!</v>
      </c>
      <c r="FR4" t="e">
        <f>AND(Guide!B19,"AAAAAHP/z60=")</f>
        <v>#VALUE!</v>
      </c>
      <c r="FS4" t="e">
        <f>AND(Guide!C19,"AAAAAHP/z64=")</f>
        <v>#VALUE!</v>
      </c>
      <c r="FT4" t="e">
        <f>AND(Guide!D19,"AAAAAHP/z68=")</f>
        <v>#VALUE!</v>
      </c>
      <c r="FU4" t="e">
        <f>AND(Guide!E19,"AAAAAHP/z7A=")</f>
        <v>#VALUE!</v>
      </c>
      <c r="FV4" t="e">
        <f>AND(Guide!F19,"AAAAAHP/z7E=")</f>
        <v>#VALUE!</v>
      </c>
      <c r="FW4" t="e">
        <f>AND(Guide!G19,"AAAAAHP/z7I=")</f>
        <v>#VALUE!</v>
      </c>
      <c r="FX4" t="e">
        <f>AND(Guide!H19,"AAAAAHP/z7M=")</f>
        <v>#VALUE!</v>
      </c>
      <c r="FY4" t="e">
        <f>AND(Guide!I19,"AAAAAHP/z7Q=")</f>
        <v>#VALUE!</v>
      </c>
      <c r="FZ4">
        <f>IF(Guide!20:20,"AAAAAHP/z7U=",0)</f>
        <v>0</v>
      </c>
      <c r="GA4" t="e">
        <f>AND(Guide!A20,"AAAAAHP/z7Y=")</f>
        <v>#VALUE!</v>
      </c>
      <c r="GB4" t="e">
        <f>AND(Guide!B20,"AAAAAHP/z7c=")</f>
        <v>#VALUE!</v>
      </c>
      <c r="GC4" t="e">
        <f>AND(Guide!C20,"AAAAAHP/z7g=")</f>
        <v>#VALUE!</v>
      </c>
      <c r="GD4" t="e">
        <f>AND(Guide!D20,"AAAAAHP/z7k=")</f>
        <v>#VALUE!</v>
      </c>
      <c r="GE4" t="e">
        <f>AND(Guide!E20,"AAAAAHP/z7o=")</f>
        <v>#VALUE!</v>
      </c>
      <c r="GF4" t="e">
        <f>AND(Guide!F20,"AAAAAHP/z7s=")</f>
        <v>#VALUE!</v>
      </c>
      <c r="GG4" t="e">
        <f>AND(Guide!G20,"AAAAAHP/z7w=")</f>
        <v>#VALUE!</v>
      </c>
      <c r="GH4" t="e">
        <f>AND(Guide!H20,"AAAAAHP/z70=")</f>
        <v>#VALUE!</v>
      </c>
      <c r="GI4" t="e">
        <f>AND(Guide!I20,"AAAAAHP/z74=")</f>
        <v>#VALUE!</v>
      </c>
      <c r="GJ4">
        <f>IF(Guide!21:21,"AAAAAHP/z78=",0)</f>
        <v>0</v>
      </c>
      <c r="GK4" t="e">
        <f>AND(Guide!A21,"AAAAAHP/z8A=")</f>
        <v>#VALUE!</v>
      </c>
      <c r="GL4" t="e">
        <f>AND(Guide!B21,"AAAAAHP/z8E=")</f>
        <v>#VALUE!</v>
      </c>
      <c r="GM4" t="e">
        <f>AND(Guide!C21,"AAAAAHP/z8I=")</f>
        <v>#VALUE!</v>
      </c>
      <c r="GN4" t="e">
        <f>AND(Guide!D21,"AAAAAHP/z8M=")</f>
        <v>#VALUE!</v>
      </c>
      <c r="GO4" t="e">
        <f>AND(Guide!E21,"AAAAAHP/z8Q=")</f>
        <v>#VALUE!</v>
      </c>
      <c r="GP4" t="e">
        <f>AND(Guide!F21,"AAAAAHP/z8U=")</f>
        <v>#VALUE!</v>
      </c>
      <c r="GQ4" t="e">
        <f>AND(Guide!G21,"AAAAAHP/z8Y=")</f>
        <v>#VALUE!</v>
      </c>
      <c r="GR4" t="e">
        <f>AND(Guide!H21,"AAAAAHP/z8c=")</f>
        <v>#VALUE!</v>
      </c>
      <c r="GS4" t="e">
        <f>AND(Guide!I21,"AAAAAHP/z8g=")</f>
        <v>#VALUE!</v>
      </c>
      <c r="GT4">
        <f>IF(Guide!22:22,"AAAAAHP/z8k=",0)</f>
        <v>0</v>
      </c>
      <c r="GU4" t="e">
        <f>AND(Guide!A22,"AAAAAHP/z8o=")</f>
        <v>#VALUE!</v>
      </c>
      <c r="GV4" t="e">
        <f>AND(Guide!B22,"AAAAAHP/z8s=")</f>
        <v>#VALUE!</v>
      </c>
      <c r="GW4" t="e">
        <f>AND(Guide!C22,"AAAAAHP/z8w=")</f>
        <v>#VALUE!</v>
      </c>
      <c r="GX4" t="e">
        <f>AND(Guide!D22,"AAAAAHP/z80=")</f>
        <v>#VALUE!</v>
      </c>
      <c r="GY4" t="e">
        <f>AND(Guide!E22,"AAAAAHP/z84=")</f>
        <v>#VALUE!</v>
      </c>
      <c r="GZ4" t="e">
        <f>AND(Guide!F22,"AAAAAHP/z88=")</f>
        <v>#VALUE!</v>
      </c>
      <c r="HA4" t="e">
        <f>AND(Guide!G22,"AAAAAHP/z9A=")</f>
        <v>#VALUE!</v>
      </c>
      <c r="HB4" t="e">
        <f>AND(Guide!H22,"AAAAAHP/z9E=")</f>
        <v>#VALUE!</v>
      </c>
      <c r="HC4" t="e">
        <f>AND(Guide!I22,"AAAAAHP/z9I=")</f>
        <v>#VALUE!</v>
      </c>
      <c r="HD4">
        <f>IF(Guide!23:23,"AAAAAHP/z9M=",0)</f>
        <v>0</v>
      </c>
      <c r="HE4" t="e">
        <f>AND(Guide!A23,"AAAAAHP/z9Q=")</f>
        <v>#VALUE!</v>
      </c>
      <c r="HF4" t="e">
        <f>AND(Guide!B23,"AAAAAHP/z9U=")</f>
        <v>#VALUE!</v>
      </c>
      <c r="HG4" t="e">
        <f>AND(Guide!C23,"AAAAAHP/z9Y=")</f>
        <v>#VALUE!</v>
      </c>
      <c r="HH4" t="e">
        <f>AND(Guide!D23,"AAAAAHP/z9c=")</f>
        <v>#VALUE!</v>
      </c>
      <c r="HI4" t="e">
        <f>AND(Guide!E23,"AAAAAHP/z9g=")</f>
        <v>#VALUE!</v>
      </c>
      <c r="HJ4" t="e">
        <f>AND(Guide!F23,"AAAAAHP/z9k=")</f>
        <v>#VALUE!</v>
      </c>
      <c r="HK4" t="e">
        <f>AND(Guide!G23,"AAAAAHP/z9o=")</f>
        <v>#VALUE!</v>
      </c>
      <c r="HL4" t="e">
        <f>AND(Guide!H23,"AAAAAHP/z9s=")</f>
        <v>#VALUE!</v>
      </c>
      <c r="HM4" t="e">
        <f>AND(Guide!I23,"AAAAAHP/z9w=")</f>
        <v>#VALUE!</v>
      </c>
      <c r="HN4">
        <f>IF(Guide!24:24,"AAAAAHP/z90=",0)</f>
        <v>0</v>
      </c>
      <c r="HO4" t="e">
        <f>AND(Guide!A24,"AAAAAHP/z94=")</f>
        <v>#VALUE!</v>
      </c>
      <c r="HP4" t="e">
        <f>AND(Guide!B24,"AAAAAHP/z98=")</f>
        <v>#VALUE!</v>
      </c>
      <c r="HQ4" t="e">
        <f>AND(Guide!C24,"AAAAAHP/z+A=")</f>
        <v>#VALUE!</v>
      </c>
      <c r="HR4" t="e">
        <f>AND(Guide!D24,"AAAAAHP/z+E=")</f>
        <v>#VALUE!</v>
      </c>
      <c r="HS4" t="e">
        <f>AND(Guide!E24,"AAAAAHP/z+I=")</f>
        <v>#VALUE!</v>
      </c>
      <c r="HT4" t="e">
        <f>AND(Guide!F24,"AAAAAHP/z+M=")</f>
        <v>#VALUE!</v>
      </c>
      <c r="HU4" t="e">
        <f>AND(Guide!G24,"AAAAAHP/z+Q=")</f>
        <v>#VALUE!</v>
      </c>
      <c r="HV4" t="e">
        <f>AND(Guide!H24,"AAAAAHP/z+U=")</f>
        <v>#VALUE!</v>
      </c>
      <c r="HW4" t="e">
        <f>AND(Guide!I24,"AAAAAHP/z+Y=")</f>
        <v>#VALUE!</v>
      </c>
      <c r="HX4">
        <f>IF(Guide!25:25,"AAAAAHP/z+c=",0)</f>
        <v>0</v>
      </c>
      <c r="HY4" t="e">
        <f>AND(Guide!A25,"AAAAAHP/z+g=")</f>
        <v>#VALUE!</v>
      </c>
      <c r="HZ4" t="e">
        <f>AND(Guide!B25,"AAAAAHP/z+k=")</f>
        <v>#VALUE!</v>
      </c>
      <c r="IA4" t="e">
        <f>AND(Guide!C25,"AAAAAHP/z+o=")</f>
        <v>#VALUE!</v>
      </c>
      <c r="IB4" t="e">
        <f>AND(Guide!D25,"AAAAAHP/z+s=")</f>
        <v>#VALUE!</v>
      </c>
      <c r="IC4" t="e">
        <f>AND(Guide!E25,"AAAAAHP/z+w=")</f>
        <v>#VALUE!</v>
      </c>
      <c r="ID4" t="e">
        <f>AND(Guide!F25,"AAAAAHP/z+0=")</f>
        <v>#VALUE!</v>
      </c>
      <c r="IE4" t="e">
        <f>AND(Guide!G25,"AAAAAHP/z+4=")</f>
        <v>#VALUE!</v>
      </c>
      <c r="IF4" t="e">
        <f>AND(Guide!H25,"AAAAAHP/z+8=")</f>
        <v>#VALUE!</v>
      </c>
      <c r="IG4" t="e">
        <f>AND(Guide!I25,"AAAAAHP/z/A=")</f>
        <v>#VALUE!</v>
      </c>
      <c r="IH4">
        <f>IF(Guide!26:26,"AAAAAHP/z/E=",0)</f>
        <v>0</v>
      </c>
      <c r="II4" t="e">
        <f>AND(Guide!A26,"AAAAAHP/z/I=")</f>
        <v>#VALUE!</v>
      </c>
      <c r="IJ4" t="e">
        <f>AND(Guide!B26,"AAAAAHP/z/M=")</f>
        <v>#VALUE!</v>
      </c>
      <c r="IK4" t="e">
        <f>AND(Guide!C26,"AAAAAHP/z/Q=")</f>
        <v>#VALUE!</v>
      </c>
      <c r="IL4" t="e">
        <f>AND(Guide!D26,"AAAAAHP/z/U=")</f>
        <v>#VALUE!</v>
      </c>
      <c r="IM4" t="e">
        <f>AND(Guide!E26,"AAAAAHP/z/Y=")</f>
        <v>#VALUE!</v>
      </c>
      <c r="IN4" t="e">
        <f>AND(Guide!F26,"AAAAAHP/z/c=")</f>
        <v>#VALUE!</v>
      </c>
      <c r="IO4" t="e">
        <f>AND(Guide!G26,"AAAAAHP/z/g=")</f>
        <v>#VALUE!</v>
      </c>
      <c r="IP4" t="e">
        <f>AND(Guide!H26,"AAAAAHP/z/k=")</f>
        <v>#VALUE!</v>
      </c>
      <c r="IQ4" t="e">
        <f>AND(Guide!I26,"AAAAAHP/z/o=")</f>
        <v>#VALUE!</v>
      </c>
      <c r="IR4">
        <f>IF(Guide!27:27,"AAAAAHP/z/s=",0)</f>
        <v>0</v>
      </c>
      <c r="IS4" t="e">
        <f>AND(Guide!A27,"AAAAAHP/z/w=")</f>
        <v>#VALUE!</v>
      </c>
      <c r="IT4" t="e">
        <f>AND(Guide!B27,"AAAAAHP/z/0=")</f>
        <v>#VALUE!</v>
      </c>
      <c r="IU4" t="e">
        <f>AND(Guide!C27,"AAAAAHP/z/4=")</f>
        <v>#VALUE!</v>
      </c>
      <c r="IV4" t="e">
        <f>AND(Guide!D27,"AAAAAHP/z/8=")</f>
        <v>#VALUE!</v>
      </c>
    </row>
    <row r="5" spans="1:256" ht="12.75">
      <c r="A5" t="e">
        <f>AND(Guide!E27,"AAAAAHf9/wA=")</f>
        <v>#VALUE!</v>
      </c>
      <c r="B5" t="e">
        <f>AND(Guide!F27,"AAAAAHf9/wE=")</f>
        <v>#VALUE!</v>
      </c>
      <c r="C5" t="e">
        <f>AND(Guide!G27,"AAAAAHf9/wI=")</f>
        <v>#VALUE!</v>
      </c>
      <c r="D5" t="e">
        <f>AND(Guide!H27,"AAAAAHf9/wM=")</f>
        <v>#VALUE!</v>
      </c>
      <c r="E5" t="e">
        <f>AND(Guide!I27,"AAAAAHf9/wQ=")</f>
        <v>#VALUE!</v>
      </c>
      <c r="F5" t="str">
        <f>IF(Guide!28:28,"AAAAAHf9/wU=",0)</f>
        <v>AAAAAHf9/wU=</v>
      </c>
      <c r="G5" t="e">
        <f>AND(Guide!A28,"AAAAAHf9/wY=")</f>
        <v>#VALUE!</v>
      </c>
      <c r="H5" t="e">
        <f>AND(Guide!B28,"AAAAAHf9/wc=")</f>
        <v>#VALUE!</v>
      </c>
      <c r="I5" t="e">
        <f>AND(Guide!C28,"AAAAAHf9/wg=")</f>
        <v>#VALUE!</v>
      </c>
      <c r="J5" t="e">
        <f>AND(Guide!D28,"AAAAAHf9/wk=")</f>
        <v>#VALUE!</v>
      </c>
      <c r="K5" t="e">
        <f>AND(Guide!E28,"AAAAAHf9/wo=")</f>
        <v>#VALUE!</v>
      </c>
      <c r="L5" t="e">
        <f>AND(Guide!F28,"AAAAAHf9/ws=")</f>
        <v>#VALUE!</v>
      </c>
      <c r="M5" t="e">
        <f>AND(Guide!G28,"AAAAAHf9/ww=")</f>
        <v>#VALUE!</v>
      </c>
      <c r="N5" t="e">
        <f>AND(Guide!H28,"AAAAAHf9/w0=")</f>
        <v>#VALUE!</v>
      </c>
      <c r="O5" t="e">
        <f>AND(Guide!I28,"AAAAAHf9/w4=")</f>
        <v>#VALUE!</v>
      </c>
      <c r="P5">
        <f>IF(Guide!29:29,"AAAAAHf9/w8=",0)</f>
        <v>0</v>
      </c>
      <c r="Q5" t="e">
        <f>AND(Guide!A29,"AAAAAHf9/xA=")</f>
        <v>#VALUE!</v>
      </c>
      <c r="R5" t="e">
        <f>AND(Guide!B29,"AAAAAHf9/xE=")</f>
        <v>#VALUE!</v>
      </c>
      <c r="S5" t="e">
        <f>AND(Guide!C29,"AAAAAHf9/xI=")</f>
        <v>#VALUE!</v>
      </c>
      <c r="T5" t="e">
        <f>AND(Guide!D29,"AAAAAHf9/xM=")</f>
        <v>#VALUE!</v>
      </c>
      <c r="U5" t="e">
        <f>AND(Guide!E29,"AAAAAHf9/xQ=")</f>
        <v>#VALUE!</v>
      </c>
      <c r="V5" t="e">
        <f>AND(Guide!F29,"AAAAAHf9/xU=")</f>
        <v>#VALUE!</v>
      </c>
      <c r="W5" t="e">
        <f>AND(Guide!G29,"AAAAAHf9/xY=")</f>
        <v>#VALUE!</v>
      </c>
      <c r="X5" t="e">
        <f>AND(Guide!H29,"AAAAAHf9/xc=")</f>
        <v>#VALUE!</v>
      </c>
      <c r="Y5" t="e">
        <f>AND(Guide!I29,"AAAAAHf9/xg=")</f>
        <v>#VALUE!</v>
      </c>
      <c r="Z5">
        <f>IF(Guide!30:30,"AAAAAHf9/xk=",0)</f>
        <v>0</v>
      </c>
      <c r="AA5" t="e">
        <f>AND(Guide!A30,"AAAAAHf9/xo=")</f>
        <v>#VALUE!</v>
      </c>
      <c r="AB5" t="e">
        <f>AND(Guide!B30,"AAAAAHf9/xs=")</f>
        <v>#VALUE!</v>
      </c>
      <c r="AC5" t="e">
        <f>AND(Guide!C30,"AAAAAHf9/xw=")</f>
        <v>#VALUE!</v>
      </c>
      <c r="AD5" t="e">
        <f>AND(Guide!D30,"AAAAAHf9/x0=")</f>
        <v>#VALUE!</v>
      </c>
      <c r="AE5" t="e">
        <f>AND(Guide!E30,"AAAAAHf9/x4=")</f>
        <v>#VALUE!</v>
      </c>
      <c r="AF5" t="e">
        <f>AND(Guide!F30,"AAAAAHf9/x8=")</f>
        <v>#VALUE!</v>
      </c>
      <c r="AG5" t="e">
        <f>AND(Guide!G30,"AAAAAHf9/yA=")</f>
        <v>#VALUE!</v>
      </c>
      <c r="AH5" t="e">
        <f>AND(Guide!H30,"AAAAAHf9/yE=")</f>
        <v>#VALUE!</v>
      </c>
      <c r="AI5" t="e">
        <f>AND(Guide!I30,"AAAAAHf9/yI=")</f>
        <v>#VALUE!</v>
      </c>
      <c r="AJ5">
        <f>IF(Guide!31:31,"AAAAAHf9/yM=",0)</f>
        <v>0</v>
      </c>
      <c r="AK5" t="e">
        <f>AND(Guide!A31,"AAAAAHf9/yQ=")</f>
        <v>#VALUE!</v>
      </c>
      <c r="AL5" t="e">
        <f>AND(Guide!B31,"AAAAAHf9/yU=")</f>
        <v>#VALUE!</v>
      </c>
      <c r="AM5" t="e">
        <f>AND(Guide!C31,"AAAAAHf9/yY=")</f>
        <v>#VALUE!</v>
      </c>
      <c r="AN5" t="e">
        <f>AND(Guide!D31,"AAAAAHf9/yc=")</f>
        <v>#VALUE!</v>
      </c>
      <c r="AO5" t="e">
        <f>AND(Guide!E31,"AAAAAHf9/yg=")</f>
        <v>#VALUE!</v>
      </c>
      <c r="AP5" t="e">
        <f>AND(Guide!F31,"AAAAAHf9/yk=")</f>
        <v>#VALUE!</v>
      </c>
      <c r="AQ5" t="e">
        <f>AND(Guide!G31,"AAAAAHf9/yo=")</f>
        <v>#VALUE!</v>
      </c>
      <c r="AR5" t="e">
        <f>AND(Guide!H31,"AAAAAHf9/ys=")</f>
        <v>#VALUE!</v>
      </c>
      <c r="AS5" t="e">
        <f>AND(Guide!I31,"AAAAAHf9/yw=")</f>
        <v>#VALUE!</v>
      </c>
      <c r="AT5">
        <f>IF(Guide!32:32,"AAAAAHf9/y0=",0)</f>
        <v>0</v>
      </c>
      <c r="AU5" t="e">
        <f>AND(Guide!A32,"AAAAAHf9/y4=")</f>
        <v>#VALUE!</v>
      </c>
      <c r="AV5" t="e">
        <f>AND(Guide!B32,"AAAAAHf9/y8=")</f>
        <v>#VALUE!</v>
      </c>
      <c r="AW5" t="e">
        <f>AND(Guide!C32,"AAAAAHf9/zA=")</f>
        <v>#VALUE!</v>
      </c>
      <c r="AX5" t="e">
        <f>AND(Guide!D32,"AAAAAHf9/zE=")</f>
        <v>#VALUE!</v>
      </c>
      <c r="AY5" t="e">
        <f>AND(Guide!E32,"AAAAAHf9/zI=")</f>
        <v>#VALUE!</v>
      </c>
      <c r="AZ5" t="e">
        <f>AND(Guide!F32,"AAAAAHf9/zM=")</f>
        <v>#VALUE!</v>
      </c>
      <c r="BA5" t="e">
        <f>AND(Guide!G32,"AAAAAHf9/zQ=")</f>
        <v>#VALUE!</v>
      </c>
      <c r="BB5" t="e">
        <f>AND(Guide!H32,"AAAAAHf9/zU=")</f>
        <v>#VALUE!</v>
      </c>
      <c r="BC5" t="e">
        <f>AND(Guide!I32,"AAAAAHf9/zY=")</f>
        <v>#VALUE!</v>
      </c>
      <c r="BD5">
        <f>IF(Guide!33:33,"AAAAAHf9/zc=",0)</f>
        <v>0</v>
      </c>
      <c r="BE5" t="e">
        <f>AND(Guide!A33,"AAAAAHf9/zg=")</f>
        <v>#VALUE!</v>
      </c>
      <c r="BF5" t="e">
        <f>AND(Guide!B33,"AAAAAHf9/zk=")</f>
        <v>#VALUE!</v>
      </c>
      <c r="BG5" t="e">
        <f>AND(Guide!C33,"AAAAAHf9/zo=")</f>
        <v>#VALUE!</v>
      </c>
      <c r="BH5" t="e">
        <f>AND(Guide!D33,"AAAAAHf9/zs=")</f>
        <v>#VALUE!</v>
      </c>
      <c r="BI5" t="e">
        <f>AND(Guide!E33,"AAAAAHf9/zw=")</f>
        <v>#VALUE!</v>
      </c>
      <c r="BJ5" t="e">
        <f>AND(Guide!F33,"AAAAAHf9/z0=")</f>
        <v>#VALUE!</v>
      </c>
      <c r="BK5" t="e">
        <f>AND(Guide!G33,"AAAAAHf9/z4=")</f>
        <v>#VALUE!</v>
      </c>
      <c r="BL5" t="e">
        <f>AND(Guide!H33,"AAAAAHf9/z8=")</f>
        <v>#VALUE!</v>
      </c>
      <c r="BM5" t="e">
        <f>AND(Guide!I33,"AAAAAHf9/0A=")</f>
        <v>#VALUE!</v>
      </c>
      <c r="BN5">
        <f>IF(Guide!34:34,"AAAAAHf9/0E=",0)</f>
        <v>0</v>
      </c>
      <c r="BO5" t="e">
        <f>AND(Guide!A34,"AAAAAHf9/0I=")</f>
        <v>#VALUE!</v>
      </c>
      <c r="BP5" t="e">
        <f>AND(Guide!B34,"AAAAAHf9/0M=")</f>
        <v>#VALUE!</v>
      </c>
      <c r="BQ5" t="e">
        <f>AND(Guide!C34,"AAAAAHf9/0Q=")</f>
        <v>#VALUE!</v>
      </c>
      <c r="BR5" t="e">
        <f>AND(Guide!D34,"AAAAAHf9/0U=")</f>
        <v>#VALUE!</v>
      </c>
      <c r="BS5" t="e">
        <f>AND(Guide!E34,"AAAAAHf9/0Y=")</f>
        <v>#VALUE!</v>
      </c>
      <c r="BT5" t="e">
        <f>AND(Guide!F34,"AAAAAHf9/0c=")</f>
        <v>#VALUE!</v>
      </c>
      <c r="BU5" t="e">
        <f>AND(Guide!G34,"AAAAAHf9/0g=")</f>
        <v>#VALUE!</v>
      </c>
      <c r="BV5" t="e">
        <f>AND(Guide!H34,"AAAAAHf9/0k=")</f>
        <v>#VALUE!</v>
      </c>
      <c r="BW5" t="e">
        <f>AND(Guide!I34,"AAAAAHf9/0o=")</f>
        <v>#VALUE!</v>
      </c>
      <c r="BX5">
        <f>IF(Guide!35:35,"AAAAAHf9/0s=",0)</f>
        <v>0</v>
      </c>
      <c r="BY5" t="e">
        <f>AND(Guide!A35,"AAAAAHf9/0w=")</f>
        <v>#VALUE!</v>
      </c>
      <c r="BZ5" t="e">
        <f>AND(Guide!B35,"AAAAAHf9/00=")</f>
        <v>#VALUE!</v>
      </c>
      <c r="CA5" t="e">
        <f>AND(Guide!C35,"AAAAAHf9/04=")</f>
        <v>#VALUE!</v>
      </c>
      <c r="CB5" t="e">
        <f>AND(Guide!D35,"AAAAAHf9/08=")</f>
        <v>#VALUE!</v>
      </c>
      <c r="CC5" t="e">
        <f>AND(Guide!E35,"AAAAAHf9/1A=")</f>
        <v>#VALUE!</v>
      </c>
      <c r="CD5" t="e">
        <f>AND(Guide!F35,"AAAAAHf9/1E=")</f>
        <v>#VALUE!</v>
      </c>
      <c r="CE5" t="e">
        <f>AND(Guide!G35,"AAAAAHf9/1I=")</f>
        <v>#VALUE!</v>
      </c>
      <c r="CF5" t="e">
        <f>AND(Guide!H35,"AAAAAHf9/1M=")</f>
        <v>#VALUE!</v>
      </c>
      <c r="CG5" t="e">
        <f>AND(Guide!I35,"AAAAAHf9/1Q=")</f>
        <v>#VALUE!</v>
      </c>
      <c r="CH5">
        <f>IF(Guide!36:36,"AAAAAHf9/1U=",0)</f>
        <v>0</v>
      </c>
      <c r="CI5" t="e">
        <f>AND(Guide!A36,"AAAAAHf9/1Y=")</f>
        <v>#VALUE!</v>
      </c>
      <c r="CJ5" t="e">
        <f>AND(Guide!B36,"AAAAAHf9/1c=")</f>
        <v>#VALUE!</v>
      </c>
      <c r="CK5" t="e">
        <f>AND(Guide!C36,"AAAAAHf9/1g=")</f>
        <v>#VALUE!</v>
      </c>
      <c r="CL5" t="e">
        <f>AND(Guide!D36,"AAAAAHf9/1k=")</f>
        <v>#VALUE!</v>
      </c>
      <c r="CM5" t="e">
        <f>AND(Guide!E36,"AAAAAHf9/1o=")</f>
        <v>#VALUE!</v>
      </c>
      <c r="CN5" t="e">
        <f>AND(Guide!F36,"AAAAAHf9/1s=")</f>
        <v>#VALUE!</v>
      </c>
      <c r="CO5" t="e">
        <f>AND(Guide!G36,"AAAAAHf9/1w=")</f>
        <v>#VALUE!</v>
      </c>
      <c r="CP5" t="e">
        <f>AND(Guide!H36,"AAAAAHf9/10=")</f>
        <v>#VALUE!</v>
      </c>
      <c r="CQ5" t="e">
        <f>AND(Guide!I36,"AAAAAHf9/14=")</f>
        <v>#VALUE!</v>
      </c>
      <c r="CR5">
        <f>IF(Guide!37:37,"AAAAAHf9/18=",0)</f>
        <v>0</v>
      </c>
      <c r="CS5" t="e">
        <f>AND(Guide!A37,"AAAAAHf9/2A=")</f>
        <v>#VALUE!</v>
      </c>
      <c r="CT5" t="e">
        <f>AND(Guide!B37,"AAAAAHf9/2E=")</f>
        <v>#VALUE!</v>
      </c>
      <c r="CU5" t="e">
        <f>AND(Guide!C37,"AAAAAHf9/2I=")</f>
        <v>#VALUE!</v>
      </c>
      <c r="CV5" t="e">
        <f>AND(Guide!D37,"AAAAAHf9/2M=")</f>
        <v>#VALUE!</v>
      </c>
      <c r="CW5" t="e">
        <f>AND(Guide!E37,"AAAAAHf9/2Q=")</f>
        <v>#VALUE!</v>
      </c>
      <c r="CX5" t="e">
        <f>AND(Guide!F37,"AAAAAHf9/2U=")</f>
        <v>#VALUE!</v>
      </c>
      <c r="CY5" t="e">
        <f>AND(Guide!G37,"AAAAAHf9/2Y=")</f>
        <v>#VALUE!</v>
      </c>
      <c r="CZ5" t="e">
        <f>AND(Guide!H37,"AAAAAHf9/2c=")</f>
        <v>#VALUE!</v>
      </c>
      <c r="DA5" t="e">
        <f>AND(Guide!I37,"AAAAAHf9/2g=")</f>
        <v>#VALUE!</v>
      </c>
      <c r="DB5">
        <f>IF(Guide!38:38,"AAAAAHf9/2k=",0)</f>
        <v>0</v>
      </c>
      <c r="DC5" t="e">
        <f>AND(Guide!A38,"AAAAAHf9/2o=")</f>
        <v>#VALUE!</v>
      </c>
      <c r="DD5" t="e">
        <f>AND(Guide!B38,"AAAAAHf9/2s=")</f>
        <v>#VALUE!</v>
      </c>
      <c r="DE5" t="e">
        <f>AND(Guide!C38,"AAAAAHf9/2w=")</f>
        <v>#VALUE!</v>
      </c>
      <c r="DF5" t="e">
        <f>AND(Guide!D38,"AAAAAHf9/20=")</f>
        <v>#VALUE!</v>
      </c>
      <c r="DG5" t="e">
        <f>AND(Guide!E38,"AAAAAHf9/24=")</f>
        <v>#VALUE!</v>
      </c>
      <c r="DH5" t="e">
        <f>AND(Guide!F38,"AAAAAHf9/28=")</f>
        <v>#VALUE!</v>
      </c>
      <c r="DI5" t="e">
        <f>AND(Guide!G38,"AAAAAHf9/3A=")</f>
        <v>#VALUE!</v>
      </c>
      <c r="DJ5" t="e">
        <f>AND(Guide!H38,"AAAAAHf9/3E=")</f>
        <v>#VALUE!</v>
      </c>
      <c r="DK5" t="e">
        <f>AND(Guide!I38,"AAAAAHf9/3I=")</f>
        <v>#VALUE!</v>
      </c>
      <c r="DL5">
        <f>IF(Guide!39:39,"AAAAAHf9/3M=",0)</f>
        <v>0</v>
      </c>
      <c r="DM5" t="e">
        <f>AND(Guide!A39,"AAAAAHf9/3Q=")</f>
        <v>#VALUE!</v>
      </c>
      <c r="DN5" t="e">
        <f>AND(Guide!B39,"AAAAAHf9/3U=")</f>
        <v>#VALUE!</v>
      </c>
      <c r="DO5" t="e">
        <f>AND(Guide!C39,"AAAAAHf9/3Y=")</f>
        <v>#VALUE!</v>
      </c>
      <c r="DP5" t="e">
        <f>AND(Guide!D39,"AAAAAHf9/3c=")</f>
        <v>#VALUE!</v>
      </c>
      <c r="DQ5" t="e">
        <f>AND(Guide!E39,"AAAAAHf9/3g=")</f>
        <v>#VALUE!</v>
      </c>
      <c r="DR5" t="e">
        <f>AND(Guide!F39,"AAAAAHf9/3k=")</f>
        <v>#VALUE!</v>
      </c>
      <c r="DS5" t="e">
        <f>AND(Guide!G39,"AAAAAHf9/3o=")</f>
        <v>#VALUE!</v>
      </c>
      <c r="DT5" t="e">
        <f>AND(Guide!H39,"AAAAAHf9/3s=")</f>
        <v>#VALUE!</v>
      </c>
      <c r="DU5" t="e">
        <f>AND(Guide!I39,"AAAAAHf9/3w=")</f>
        <v>#VALUE!</v>
      </c>
      <c r="DV5">
        <f>IF(Guide!40:40,"AAAAAHf9/30=",0)</f>
        <v>0</v>
      </c>
      <c r="DW5" t="e">
        <f>AND(Guide!A40,"AAAAAHf9/34=")</f>
        <v>#VALUE!</v>
      </c>
      <c r="DX5" t="e">
        <f>AND(Guide!B40,"AAAAAHf9/38=")</f>
        <v>#VALUE!</v>
      </c>
      <c r="DY5" t="e">
        <f>AND(Guide!C40,"AAAAAHf9/4A=")</f>
        <v>#VALUE!</v>
      </c>
      <c r="DZ5" t="e">
        <f>AND(Guide!D40,"AAAAAHf9/4E=")</f>
        <v>#VALUE!</v>
      </c>
      <c r="EA5" t="e">
        <f>AND(Guide!E40,"AAAAAHf9/4I=")</f>
        <v>#VALUE!</v>
      </c>
      <c r="EB5" t="e">
        <f>AND(Guide!F40,"AAAAAHf9/4M=")</f>
        <v>#VALUE!</v>
      </c>
      <c r="EC5" t="e">
        <f>AND(Guide!G40,"AAAAAHf9/4Q=")</f>
        <v>#VALUE!</v>
      </c>
      <c r="ED5" t="e">
        <f>AND(Guide!H40,"AAAAAHf9/4U=")</f>
        <v>#VALUE!</v>
      </c>
      <c r="EE5" t="e">
        <f>AND(Guide!I40,"AAAAAHf9/4Y=")</f>
        <v>#VALUE!</v>
      </c>
      <c r="EF5">
        <f>IF(Guide!41:41,"AAAAAHf9/4c=",0)</f>
        <v>0</v>
      </c>
      <c r="EG5" t="e">
        <f>AND(Guide!A41,"AAAAAHf9/4g=")</f>
        <v>#VALUE!</v>
      </c>
      <c r="EH5" t="e">
        <f>AND(Guide!B41,"AAAAAHf9/4k=")</f>
        <v>#VALUE!</v>
      </c>
      <c r="EI5" t="e">
        <f>AND(Guide!C41,"AAAAAHf9/4o=")</f>
        <v>#VALUE!</v>
      </c>
      <c r="EJ5" t="e">
        <f>AND(Guide!D41,"AAAAAHf9/4s=")</f>
        <v>#VALUE!</v>
      </c>
      <c r="EK5" t="e">
        <f>AND(Guide!E41,"AAAAAHf9/4w=")</f>
        <v>#VALUE!</v>
      </c>
      <c r="EL5" t="e">
        <f>AND(Guide!F41,"AAAAAHf9/40=")</f>
        <v>#VALUE!</v>
      </c>
      <c r="EM5" t="e">
        <f>AND(Guide!G41,"AAAAAHf9/44=")</f>
        <v>#VALUE!</v>
      </c>
      <c r="EN5" t="e">
        <f>AND(Guide!H41,"AAAAAHf9/48=")</f>
        <v>#VALUE!</v>
      </c>
      <c r="EO5" t="e">
        <f>AND(Guide!I41,"AAAAAHf9/5A=")</f>
        <v>#VALUE!</v>
      </c>
      <c r="EP5">
        <f>IF(Guide!42:42,"AAAAAHf9/5E=",0)</f>
        <v>0</v>
      </c>
      <c r="EQ5" t="e">
        <f>AND(Guide!A42,"AAAAAHf9/5I=")</f>
        <v>#VALUE!</v>
      </c>
      <c r="ER5" t="e">
        <f>AND(Guide!B42,"AAAAAHf9/5M=")</f>
        <v>#VALUE!</v>
      </c>
      <c r="ES5" t="e">
        <f>AND(Guide!C42,"AAAAAHf9/5Q=")</f>
        <v>#VALUE!</v>
      </c>
      <c r="ET5" t="e">
        <f>AND(Guide!D42,"AAAAAHf9/5U=")</f>
        <v>#VALUE!</v>
      </c>
      <c r="EU5" t="e">
        <f>AND(Guide!E42,"AAAAAHf9/5Y=")</f>
        <v>#VALUE!</v>
      </c>
      <c r="EV5" t="e">
        <f>AND(Guide!F42,"AAAAAHf9/5c=")</f>
        <v>#VALUE!</v>
      </c>
      <c r="EW5" t="e">
        <f>AND(Guide!G42,"AAAAAHf9/5g=")</f>
        <v>#VALUE!</v>
      </c>
      <c r="EX5" t="e">
        <f>AND(Guide!H42,"AAAAAHf9/5k=")</f>
        <v>#VALUE!</v>
      </c>
      <c r="EY5" t="e">
        <f>AND(Guide!I42,"AAAAAHf9/5o=")</f>
        <v>#VALUE!</v>
      </c>
      <c r="EZ5">
        <f>IF(Guide!43:43,"AAAAAHf9/5s=",0)</f>
        <v>0</v>
      </c>
      <c r="FA5" t="e">
        <f>AND(Guide!A43,"AAAAAHf9/5w=")</f>
        <v>#VALUE!</v>
      </c>
      <c r="FB5" t="e">
        <f>AND(Guide!B43,"AAAAAHf9/50=")</f>
        <v>#VALUE!</v>
      </c>
      <c r="FC5" t="e">
        <f>AND(Guide!C43,"AAAAAHf9/54=")</f>
        <v>#VALUE!</v>
      </c>
      <c r="FD5" t="e">
        <f>AND(Guide!D43,"AAAAAHf9/58=")</f>
        <v>#VALUE!</v>
      </c>
      <c r="FE5" t="e">
        <f>AND(Guide!E43,"AAAAAHf9/6A=")</f>
        <v>#VALUE!</v>
      </c>
      <c r="FF5" t="e">
        <f>AND(Guide!F43,"AAAAAHf9/6E=")</f>
        <v>#VALUE!</v>
      </c>
      <c r="FG5" t="e">
        <f>AND(Guide!G43,"AAAAAHf9/6I=")</f>
        <v>#VALUE!</v>
      </c>
      <c r="FH5" t="e">
        <f>AND(Guide!H43,"AAAAAHf9/6M=")</f>
        <v>#VALUE!</v>
      </c>
      <c r="FI5" t="e">
        <f>AND(Guide!I43,"AAAAAHf9/6Q=")</f>
        <v>#VALUE!</v>
      </c>
      <c r="FJ5">
        <f>IF(Guide!44:44,"AAAAAHf9/6U=",0)</f>
        <v>0</v>
      </c>
      <c r="FK5" t="e">
        <f>AND(Guide!A44,"AAAAAHf9/6Y=")</f>
        <v>#VALUE!</v>
      </c>
      <c r="FL5" t="e">
        <f>AND(Guide!B44,"AAAAAHf9/6c=")</f>
        <v>#VALUE!</v>
      </c>
      <c r="FM5" t="e">
        <f>AND(Guide!C44,"AAAAAHf9/6g=")</f>
        <v>#VALUE!</v>
      </c>
      <c r="FN5" t="e">
        <f>AND(Guide!D44,"AAAAAHf9/6k=")</f>
        <v>#VALUE!</v>
      </c>
      <c r="FO5" t="e">
        <f>AND(Guide!E44,"AAAAAHf9/6o=")</f>
        <v>#VALUE!</v>
      </c>
      <c r="FP5" t="e">
        <f>AND(Guide!F44,"AAAAAHf9/6s=")</f>
        <v>#VALUE!</v>
      </c>
      <c r="FQ5" t="e">
        <f>AND(Guide!G44,"AAAAAHf9/6w=")</f>
        <v>#VALUE!</v>
      </c>
      <c r="FR5" t="e">
        <f>AND(Guide!H44,"AAAAAHf9/60=")</f>
        <v>#VALUE!</v>
      </c>
      <c r="FS5" t="e">
        <f>AND(Guide!I44,"AAAAAHf9/64=")</f>
        <v>#VALUE!</v>
      </c>
      <c r="FT5">
        <f>IF(Guide!45:45,"AAAAAHf9/68=",0)</f>
        <v>0</v>
      </c>
      <c r="FU5" t="e">
        <f>AND(Guide!A45,"AAAAAHf9/7A=")</f>
        <v>#VALUE!</v>
      </c>
      <c r="FV5" t="e">
        <f>AND(Guide!B45,"AAAAAHf9/7E=")</f>
        <v>#VALUE!</v>
      </c>
      <c r="FW5" t="e">
        <f>AND(Guide!C45,"AAAAAHf9/7I=")</f>
        <v>#VALUE!</v>
      </c>
      <c r="FX5" t="e">
        <f>AND(Guide!D45,"AAAAAHf9/7M=")</f>
        <v>#VALUE!</v>
      </c>
      <c r="FY5" t="e">
        <f>AND(Guide!E45,"AAAAAHf9/7Q=")</f>
        <v>#VALUE!</v>
      </c>
      <c r="FZ5" t="e">
        <f>AND(Guide!F45,"AAAAAHf9/7U=")</f>
        <v>#VALUE!</v>
      </c>
      <c r="GA5" t="e">
        <f>AND(Guide!G45,"AAAAAHf9/7Y=")</f>
        <v>#VALUE!</v>
      </c>
      <c r="GB5" t="e">
        <f>AND(Guide!H45,"AAAAAHf9/7c=")</f>
        <v>#VALUE!</v>
      </c>
      <c r="GC5" t="e">
        <f>AND(Guide!I45,"AAAAAHf9/7g=")</f>
        <v>#VALUE!</v>
      </c>
      <c r="GD5">
        <f>IF(Guide!46:46,"AAAAAHf9/7k=",0)</f>
        <v>0</v>
      </c>
      <c r="GE5" t="e">
        <f>AND(Guide!A46,"AAAAAHf9/7o=")</f>
        <v>#VALUE!</v>
      </c>
      <c r="GF5" t="e">
        <f>AND(Guide!B46,"AAAAAHf9/7s=")</f>
        <v>#VALUE!</v>
      </c>
      <c r="GG5" t="e">
        <f>AND(Guide!C46,"AAAAAHf9/7w=")</f>
        <v>#VALUE!</v>
      </c>
      <c r="GH5" t="e">
        <f>AND(Guide!D46,"AAAAAHf9/70=")</f>
        <v>#VALUE!</v>
      </c>
      <c r="GI5" t="e">
        <f>AND(Guide!E46,"AAAAAHf9/74=")</f>
        <v>#VALUE!</v>
      </c>
      <c r="GJ5" t="e">
        <f>AND(Guide!F46,"AAAAAHf9/78=")</f>
        <v>#VALUE!</v>
      </c>
      <c r="GK5" t="e">
        <f>AND(Guide!G46,"AAAAAHf9/8A=")</f>
        <v>#VALUE!</v>
      </c>
      <c r="GL5" t="e">
        <f>AND(Guide!H46,"AAAAAHf9/8E=")</f>
        <v>#VALUE!</v>
      </c>
      <c r="GM5" t="e">
        <f>AND(Guide!I46,"AAAAAHf9/8I=")</f>
        <v>#VALUE!</v>
      </c>
      <c r="GN5">
        <f>IF(Guide!47:47,"AAAAAHf9/8M=",0)</f>
        <v>0</v>
      </c>
      <c r="GO5" t="e">
        <f>AND(Guide!A47,"AAAAAHf9/8Q=")</f>
        <v>#VALUE!</v>
      </c>
      <c r="GP5" t="e">
        <f>AND(Guide!B47,"AAAAAHf9/8U=")</f>
        <v>#VALUE!</v>
      </c>
      <c r="GQ5" t="e">
        <f>AND(Guide!C47,"AAAAAHf9/8Y=")</f>
        <v>#VALUE!</v>
      </c>
      <c r="GR5" t="e">
        <f>AND(Guide!D47,"AAAAAHf9/8c=")</f>
        <v>#VALUE!</v>
      </c>
      <c r="GS5" t="e">
        <f>AND(Guide!E47,"AAAAAHf9/8g=")</f>
        <v>#VALUE!</v>
      </c>
      <c r="GT5" t="e">
        <f>AND(Guide!F47,"AAAAAHf9/8k=")</f>
        <v>#VALUE!</v>
      </c>
      <c r="GU5" t="e">
        <f>AND(Guide!G47,"AAAAAHf9/8o=")</f>
        <v>#VALUE!</v>
      </c>
      <c r="GV5" t="e">
        <f>AND(Guide!H47,"AAAAAHf9/8s=")</f>
        <v>#VALUE!</v>
      </c>
      <c r="GW5" t="e">
        <f>AND(Guide!I47,"AAAAAHf9/8w=")</f>
        <v>#VALUE!</v>
      </c>
      <c r="GX5">
        <f>IF(Guide!48:48,"AAAAAHf9/80=",0)</f>
        <v>0</v>
      </c>
      <c r="GY5" t="e">
        <f>AND(Guide!A48,"AAAAAHf9/84=")</f>
        <v>#VALUE!</v>
      </c>
      <c r="GZ5" t="e">
        <f>AND(Guide!B48,"AAAAAHf9/88=")</f>
        <v>#VALUE!</v>
      </c>
      <c r="HA5" t="e">
        <f>AND(Guide!C48,"AAAAAHf9/9A=")</f>
        <v>#VALUE!</v>
      </c>
      <c r="HB5" t="e">
        <f>AND(Guide!D48,"AAAAAHf9/9E=")</f>
        <v>#VALUE!</v>
      </c>
      <c r="HC5" t="e">
        <f>AND(Guide!E48,"AAAAAHf9/9I=")</f>
        <v>#VALUE!</v>
      </c>
      <c r="HD5" t="e">
        <f>AND(Guide!F48,"AAAAAHf9/9M=")</f>
        <v>#VALUE!</v>
      </c>
      <c r="HE5" t="e">
        <f>AND(Guide!G48,"AAAAAHf9/9Q=")</f>
        <v>#VALUE!</v>
      </c>
      <c r="HF5" t="e">
        <f>AND(Guide!H48,"AAAAAHf9/9U=")</f>
        <v>#VALUE!</v>
      </c>
      <c r="HG5" t="e">
        <f>AND(Guide!I48,"AAAAAHf9/9Y=")</f>
        <v>#VALUE!</v>
      </c>
      <c r="HH5">
        <f>IF(Guide!49:49,"AAAAAHf9/9c=",0)</f>
        <v>0</v>
      </c>
      <c r="HI5" t="e">
        <f>AND(Guide!A49,"AAAAAHf9/9g=")</f>
        <v>#VALUE!</v>
      </c>
      <c r="HJ5" t="e">
        <f>AND(Guide!B49,"AAAAAHf9/9k=")</f>
        <v>#VALUE!</v>
      </c>
      <c r="HK5" t="e">
        <f>AND(Guide!C49,"AAAAAHf9/9o=")</f>
        <v>#VALUE!</v>
      </c>
      <c r="HL5" t="e">
        <f>AND(Guide!D49,"AAAAAHf9/9s=")</f>
        <v>#VALUE!</v>
      </c>
      <c r="HM5" t="e">
        <f>AND(Guide!E49,"AAAAAHf9/9w=")</f>
        <v>#VALUE!</v>
      </c>
      <c r="HN5" t="e">
        <f>AND(Guide!F49,"AAAAAHf9/90=")</f>
        <v>#VALUE!</v>
      </c>
      <c r="HO5" t="e">
        <f>AND(Guide!G49,"AAAAAHf9/94=")</f>
        <v>#VALUE!</v>
      </c>
      <c r="HP5" t="e">
        <f>AND(Guide!H49,"AAAAAHf9/98=")</f>
        <v>#VALUE!</v>
      </c>
      <c r="HQ5" t="e">
        <f>AND(Guide!I49,"AAAAAHf9/+A=")</f>
        <v>#VALUE!</v>
      </c>
      <c r="HR5">
        <f>IF(Guide!50:50,"AAAAAHf9/+E=",0)</f>
        <v>0</v>
      </c>
      <c r="HS5" t="e">
        <f>AND(Guide!A50,"AAAAAHf9/+I=")</f>
        <v>#VALUE!</v>
      </c>
      <c r="HT5" t="e">
        <f>AND(Guide!B50,"AAAAAHf9/+M=")</f>
        <v>#VALUE!</v>
      </c>
      <c r="HU5" t="e">
        <f>AND(Guide!C50,"AAAAAHf9/+Q=")</f>
        <v>#VALUE!</v>
      </c>
      <c r="HV5" t="e">
        <f>AND(Guide!D50,"AAAAAHf9/+U=")</f>
        <v>#VALUE!</v>
      </c>
      <c r="HW5" t="e">
        <f>AND(Guide!E50,"AAAAAHf9/+Y=")</f>
        <v>#VALUE!</v>
      </c>
      <c r="HX5" t="e">
        <f>AND(Guide!F50,"AAAAAHf9/+c=")</f>
        <v>#VALUE!</v>
      </c>
      <c r="HY5" t="e">
        <f>AND(Guide!G50,"AAAAAHf9/+g=")</f>
        <v>#VALUE!</v>
      </c>
      <c r="HZ5" t="e">
        <f>AND(Guide!H50,"AAAAAHf9/+k=")</f>
        <v>#VALUE!</v>
      </c>
      <c r="IA5" t="e">
        <f>AND(Guide!I50,"AAAAAHf9/+o=")</f>
        <v>#VALUE!</v>
      </c>
      <c r="IB5">
        <f>IF(Guide!51:51,"AAAAAHf9/+s=",0)</f>
        <v>0</v>
      </c>
      <c r="IC5" t="e">
        <f>AND(Guide!A51,"AAAAAHf9/+w=")</f>
        <v>#VALUE!</v>
      </c>
      <c r="ID5" t="e">
        <f>AND(Guide!B51,"AAAAAHf9/+0=")</f>
        <v>#VALUE!</v>
      </c>
      <c r="IE5" t="e">
        <f>AND(Guide!C51,"AAAAAHf9/+4=")</f>
        <v>#VALUE!</v>
      </c>
      <c r="IF5" t="e">
        <f>AND(Guide!D51,"AAAAAHf9/+8=")</f>
        <v>#VALUE!</v>
      </c>
      <c r="IG5" t="e">
        <f>AND(Guide!E51,"AAAAAHf9//A=")</f>
        <v>#VALUE!</v>
      </c>
      <c r="IH5" t="e">
        <f>AND(Guide!F51,"AAAAAHf9//E=")</f>
        <v>#VALUE!</v>
      </c>
      <c r="II5" t="e">
        <f>AND(Guide!G51,"AAAAAHf9//I=")</f>
        <v>#VALUE!</v>
      </c>
      <c r="IJ5" t="e">
        <f>AND(Guide!H51,"AAAAAHf9//M=")</f>
        <v>#VALUE!</v>
      </c>
      <c r="IK5" t="e">
        <f>AND(Guide!I51,"AAAAAHf9//Q=")</f>
        <v>#VALUE!</v>
      </c>
      <c r="IL5">
        <f>IF(Guide!52:52,"AAAAAHf9//U=",0)</f>
        <v>0</v>
      </c>
      <c r="IM5" t="e">
        <f>AND(Guide!A52,"AAAAAHf9//Y=")</f>
        <v>#VALUE!</v>
      </c>
      <c r="IN5" t="e">
        <f>AND(Guide!B52,"AAAAAHf9//c=")</f>
        <v>#VALUE!</v>
      </c>
      <c r="IO5" t="e">
        <f>AND(Guide!C52,"AAAAAHf9//g=")</f>
        <v>#VALUE!</v>
      </c>
      <c r="IP5" t="e">
        <f>AND(Guide!D52,"AAAAAHf9//k=")</f>
        <v>#VALUE!</v>
      </c>
      <c r="IQ5" t="e">
        <f>AND(Guide!E52,"AAAAAHf9//o=")</f>
        <v>#VALUE!</v>
      </c>
      <c r="IR5" t="e">
        <f>AND(Guide!F52,"AAAAAHf9//s=")</f>
        <v>#VALUE!</v>
      </c>
      <c r="IS5" t="e">
        <f>AND(Guide!G52,"AAAAAHf9//w=")</f>
        <v>#VALUE!</v>
      </c>
      <c r="IT5" t="e">
        <f>AND(Guide!H52,"AAAAAHf9//0=")</f>
        <v>#VALUE!</v>
      </c>
      <c r="IU5" t="e">
        <f>AND(Guide!I52,"AAAAAHf9//4=")</f>
        <v>#VALUE!</v>
      </c>
      <c r="IV5">
        <f>IF(Guide!53:53,"AAAAAHf9//8=",0)</f>
        <v>0</v>
      </c>
    </row>
    <row r="6" spans="1:32" ht="12.75">
      <c r="A6" t="e">
        <f>AND(Guide!A53,"AAAAAGtsdwA=")</f>
        <v>#VALUE!</v>
      </c>
      <c r="B6" t="e">
        <f>AND(Guide!B53,"AAAAAGtsdwE=")</f>
        <v>#VALUE!</v>
      </c>
      <c r="C6" t="e">
        <f>AND(Guide!C53,"AAAAAGtsdwI=")</f>
        <v>#VALUE!</v>
      </c>
      <c r="D6" t="e">
        <f>AND(Guide!D53,"AAAAAGtsdwM=")</f>
        <v>#VALUE!</v>
      </c>
      <c r="E6" t="e">
        <f>AND(Guide!E53,"AAAAAGtsdwQ=")</f>
        <v>#VALUE!</v>
      </c>
      <c r="F6" t="e">
        <f>AND(Guide!F53,"AAAAAGtsdwU=")</f>
        <v>#VALUE!</v>
      </c>
      <c r="G6" t="e">
        <f>AND(Guide!G53,"AAAAAGtsdwY=")</f>
        <v>#VALUE!</v>
      </c>
      <c r="H6" t="e">
        <f>AND(Guide!H53,"AAAAAGtsdwc=")</f>
        <v>#VALUE!</v>
      </c>
      <c r="I6" t="e">
        <f>AND(Guide!I53,"AAAAAGtsdwg=")</f>
        <v>#VALUE!</v>
      </c>
      <c r="J6">
        <f>IF(Guide!54:54,"AAAAAGtsdwk=",0)</f>
        <v>0</v>
      </c>
      <c r="K6" t="e">
        <f>AND(Guide!A54,"AAAAAGtsdwo=")</f>
        <v>#VALUE!</v>
      </c>
      <c r="L6" t="e">
        <f>AND(Guide!B54,"AAAAAGtsdws=")</f>
        <v>#VALUE!</v>
      </c>
      <c r="M6" t="e">
        <f>AND(Guide!C54,"AAAAAGtsdww=")</f>
        <v>#VALUE!</v>
      </c>
      <c r="N6" t="e">
        <f>AND(Guide!D54,"AAAAAGtsdw0=")</f>
        <v>#VALUE!</v>
      </c>
      <c r="O6" t="e">
        <f>AND(Guide!E54,"AAAAAGtsdw4=")</f>
        <v>#VALUE!</v>
      </c>
      <c r="P6" t="e">
        <f>AND(Guide!F54,"AAAAAGtsdw8=")</f>
        <v>#VALUE!</v>
      </c>
      <c r="Q6" t="e">
        <f>AND(Guide!G54,"AAAAAGtsdxA=")</f>
        <v>#VALUE!</v>
      </c>
      <c r="R6" t="e">
        <f>AND(Guide!H54,"AAAAAGtsdxE=")</f>
        <v>#VALUE!</v>
      </c>
      <c r="S6" t="e">
        <f>AND(Guide!I54,"AAAAAGtsdxI=")</f>
        <v>#VALUE!</v>
      </c>
      <c r="T6" t="e">
        <f>IF(Guide!A:A,"AAAAAGtsdxM=",0)</f>
        <v>#VALUE!</v>
      </c>
      <c r="U6">
        <f>IF(Guide!B:B,"AAAAAGtsdxQ=",0)</f>
        <v>0</v>
      </c>
      <c r="V6">
        <f>IF(Guide!C:C,"AAAAAGtsdxU=",0)</f>
        <v>0</v>
      </c>
      <c r="W6">
        <f>IF(Guide!D:D,"AAAAAGtsdxY=",0)</f>
        <v>0</v>
      </c>
      <c r="X6">
        <f>IF(Guide!E:E,"AAAAAGtsdxc=",0)</f>
        <v>0</v>
      </c>
      <c r="Y6">
        <f>IF(Guide!F:F,"AAAAAGtsdxg=",0)</f>
        <v>0</v>
      </c>
      <c r="Z6">
        <f>IF(Guide!G:G,"AAAAAGtsdxk=",0)</f>
        <v>0</v>
      </c>
      <c r="AA6">
        <f>IF(Guide!H:H,"AAAAAGtsdxo=",0)</f>
        <v>0</v>
      </c>
      <c r="AB6">
        <f>IF(Guide!I:I,"AAAAAGtsdxs=",0)</f>
        <v>0</v>
      </c>
      <c r="AC6" s="27" t="s">
        <v>41</v>
      </c>
      <c r="AD6" s="32" t="s">
        <v>42</v>
      </c>
      <c r="AE6" t="s">
        <v>43</v>
      </c>
      <c r="AF6" t="e">
        <f>IF("N",'Cap Table (USD)'!PRINT_AREA,"AAAAAGtsdx8=")</f>
        <v>#VALUE!</v>
      </c>
    </row>
    <row r="7" spans="1:11" ht="12.75">
      <c r="A7">
        <f>IF('Cap Table (USD)'!16:16,"AAAAAHv+3wA=",0)</f>
        <v>0</v>
      </c>
      <c r="B7" t="e">
        <f>AND('Cap Table (USD)'!A16,"AAAAAHv+3wE=")</f>
        <v>#VALUE!</v>
      </c>
      <c r="C7" t="e">
        <f>AND('Cap Table (USD)'!B16,"AAAAAHv+3wI=")</f>
        <v>#VALUE!</v>
      </c>
      <c r="D7" t="e">
        <f>AND('Cap Table (USD)'!C16,"AAAAAHv+3wM=")</f>
        <v>#VALUE!</v>
      </c>
      <c r="E7" t="e">
        <f>AND('Cap Table (USD)'!D16,"AAAAAHv+3wQ=")</f>
        <v>#VALUE!</v>
      </c>
      <c r="F7" t="e">
        <f>AND('Cap Table (USD)'!E16,"AAAAAHv+3wU=")</f>
        <v>#VALUE!</v>
      </c>
      <c r="G7" t="e">
        <f>AND('Cap Table (USD)'!F16,"AAAAAHv+3wY=")</f>
        <v>#VALUE!</v>
      </c>
      <c r="H7" t="e">
        <f>AND('Cap Table (USD)'!G16,"AAAAAHv+3wc=")</f>
        <v>#VALUE!</v>
      </c>
      <c r="I7" t="e">
        <f>AND('Cap Table (USD)'!H16,"AAAAAHv+3wg=")</f>
        <v>#VALUE!</v>
      </c>
      <c r="J7" t="e">
        <f>AND('Cap Table (USD)'!I16,"AAAAAHv+3wk=")</f>
        <v>#VALUE!</v>
      </c>
      <c r="K7" t="e">
        <f>AND('Cap Table (USD)'!J16,"AAAAAHv+3wo=")</f>
        <v>#VALUE!</v>
      </c>
    </row>
  </sheetData>
  <sheetProtection/>
  <printOptions/>
  <pageMargins left="0.7" right="0.7" top="0.75" bottom="0.75" header="0.3" footer="0.3"/>
  <pageSetup orientation="portrait"/>
  <customProperties>
    <customPr name="DVSECTIONID" r:id="rId1"/>
  </customPropertie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StartUPbiz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Company Cap Table Template</dc:title>
  <dc:subject/>
  <dc:creator>Mbwana Alliy</dc:creator>
  <cp:keywords/>
  <dc:description/>
  <cp:lastModifiedBy>Mbwana Alliy</cp:lastModifiedBy>
  <cp:lastPrinted>2006-08-16T18:11:45Z</cp:lastPrinted>
  <dcterms:created xsi:type="dcterms:W3CDTF">2000-08-10T18:00:42Z</dcterms:created>
  <dcterms:modified xsi:type="dcterms:W3CDTF">2012-06-23T14:51:19Z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Tracking">
    <vt:lpwstr>true</vt:lpwstr>
  </property>
  <property fmtid="{D5CDD505-2E9C-101B-9397-08002B2CF9AE}" pid="3" name="Google.Documents.DocumentId">
    <vt:lpwstr>1zaw0G2CfwXdHc7NWvXHMpCdh8g_xZt38y7qGpqIjrT8</vt:lpwstr>
  </property>
  <property fmtid="{D5CDD505-2E9C-101B-9397-08002B2CF9AE}" pid="4" name="Google.Documents.RevisionId">
    <vt:lpwstr>12733912337869148916</vt:lpwstr>
  </property>
  <property fmtid="{D5CDD505-2E9C-101B-9397-08002B2CF9AE}" pid="5" name="Google.Documents.PreviousRevisionId">
    <vt:lpwstr>01700483670702190064</vt:lpwstr>
  </property>
  <property fmtid="{D5CDD505-2E9C-101B-9397-08002B2CF9AE}" pid="6" name="Google.Documents.PluginVersion">
    <vt:lpwstr>2.0.1974.7364</vt:lpwstr>
  </property>
  <property fmtid="{D5CDD505-2E9C-101B-9397-08002B2CF9AE}" pid="7" name="Google.Documents.MergeIncapabilityFlags">
    <vt:i4>0</vt:i4>
  </property>
</Properties>
</file>